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<sst xmlns="http://schemas.openxmlformats.org/spreadsheetml/2006/main" count="1722" uniqueCount="324">
  <si>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</si>
  <si>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</si>
  <si>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</si>
  <si>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</si>
  <si>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</si>
  <si>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</si>
  <si>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</si>
  <si>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</si>
  <si>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</si>
  <si>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</si>
  <si>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</si>
  <si>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</si>
  <si>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</si>
  <si>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</si>
  <si>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</si>
  <si>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</si>
  <si>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</si>
  <si>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</si>
  <si>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</si>
  <si>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</si>
  <si>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</si>
  <si>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</si>
  <si>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</si>
  <si>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</si>
  <si>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</si>
  <si>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</si>
  <si>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</si>
  <si>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</si>
  <si>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</si>
  <si>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</si>
  <si>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</si>
  <si>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</si>
  <si>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</si>
  <si>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</si>
  <si>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</si>
  <si>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</si>
  <si>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</si>
  <si>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</si>
  <si>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</si>
  <si>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</si>
  <si>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</si>
  <si>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</si>
  <si>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</si>
  <si>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</si>
  <si>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</si>
  <si>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</si>
  <si>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</si>
  <si>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</si>
  <si>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</si>
  <si>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</si>
  <si>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</si>
  <si>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</si>
  <si>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</si>
  <si>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</si>
  <si>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</si>
  <si>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</si>
  <si>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</si>
  <si>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</si>
  <si>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</si>
  <si>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</si>
  <si>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</si>
  <si>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</si>
  <si>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</si>
  <si>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</si>
  <si>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</si>
  <si>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</si>
  <si>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</si>
  <si>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</si>
  <si>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</si>
  <si>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</si>
  <si>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</si>
  <si>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</si>
  <si>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</si>
  <si>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</si>
  <si>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</si>
  <si>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</si>
  <si>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</si>
  <si>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</si>
  <si>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</si>
  <si>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</si>
  <si>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</si>
  <si>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</si>
  <si>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</si>
  <si>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</si>
  <si>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</si>
  <si>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</si>
  <si>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</si>
  <si>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</si>
  <si>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</si>
  <si>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</si>
  <si>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</si>
  <si>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</si>
  <si>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</si>
  <si>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</si>
  <si>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</si>
  <si>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</si>
  <si>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</si>
  <si>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</si>
  <si>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</si>
  <si>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</si>
  <si>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</si>
  <si>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</si>
  <si>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</si>
  <si>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</si>
  <si>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</si>
  <si>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</si>
  <si>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</si>
  <si>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</si>
  <si>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</si>
  <si>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</si>
  <si>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</si>
  <si>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</si>
  <si>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</si>
  <si>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</si>
  <si>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</si>
  <si>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</si>
  <si>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</si>
  <si>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</si>
  <si>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</si>
  <si>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</si>
  <si>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</si>
  <si>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</si>
  <si>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</si>
  <si>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</si>
  <si>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</si>
  <si>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</si>
  <si>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</si>
  <si>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</si>
  <si>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</si>
  <si>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</si>
  <si>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</si>
  <si>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</si>
  <si>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</si>
  <si>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</si>
  <si>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</si>
  <si>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</si>
  <si>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</si>
  <si>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</si>
  <si>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</si>
  <si>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</si>
  <si>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</si>
  <si>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</si>
  <si>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</si>
  <si>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</si>
  <si>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</si>
  <si>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</si>
  <si>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</si>
  <si>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</si>
  <si>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</si>
  <si>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</si>
  <si>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</si>
  <si>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</si>
  <si>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</si>
  <si>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</si>
  <si>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</si>
  <si>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</si>
  <si>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</si>
  <si>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</si>
  <si>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</si>
  <si>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</si>
  <si>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</si>
  <si>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</si>
  <si>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</si>
  <si>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</si>
  <si>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</si>
  <si>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</si>
  <si>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</si>
  <si>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</si>
  <si>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</si>
  <si>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</si>
  <si>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</si>
  <si>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</si>
  <si>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</si>
  <si>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</si>
  <si>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</si>
  <si>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</si>
  <si>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</si>
  <si>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</si>
  <si>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</si>
  <si>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</si>
  <si>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</si>
  <si>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</si>
  <si>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</si>
  <si>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</si>
  <si>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</si>
  <si>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</si>
  <si>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</si>
  <si>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</si>
  <si>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</si>
  <si>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</si>
  <si>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</si>
  <si>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</si>
  <si>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</si>
  <si>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</si>
  <si>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</si>
  <si>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</si>
  <si>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</si>
  <si>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</si>
  <si>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</si>
  <si>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</si>
  <si>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</si>
  <si>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</si>
  <si>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</si>
  <si>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</si>
  <si>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</si>
  <si>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</si>
  <si>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</si>
  <si>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</si>
  <si>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</si>
  <si>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</si>
  <si>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</si>
  <si>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</si>
  <si>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</si>
  <si>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</si>
  <si>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</si>
  <si>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</si>
  <si>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</si>
  <si>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</si>
  <si>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</si>
  <si>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</si>
  <si>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</si>
  <si>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</si>
  <si>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</si>
  <si>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</si>
  <si>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</si>
  <si>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</si>
  <si>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</si>
  <si>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</si>
  <si>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</si>
  <si>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</si>
  <si>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</si>
  <si>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</si>
  <si>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</si>
  <si>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</si>
  <si>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</si>
  <si>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</si>
  <si>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</si>
  <si>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</si>
  <si>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</si>
  <si>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</si>
  <si>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</si>
  <si>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</si>
  <si>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</si>
  <si>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</si>
  <si>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</si>
  <si>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</si>
  <si>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</si>
  <si>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</si>
  <si>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</si>
  <si>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</si>
  <si>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</si>
  <si>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</si>
  <si>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</si>
  <si>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</si>
  <si>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</si>
  <si>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</si>
  <si>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</si>
  <si>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</si>
  <si>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</si>
  <si>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</si>
  <si>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</si>
  <si>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</si>
  <si>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</si>
  <si>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</si>
  <si>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</si>
  <si>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</si>
  <si>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</si>
  <si>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</si>
  <si>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</si>
  <si>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</si>
  <si>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</si>
  <si>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</si>
  <si>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</si>
  <si>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</si>
  <si>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</si>
  <si>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</si>
  <si>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</si>
  <si>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</si>
  <si>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</si>
  <si>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</si>
  <si>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</si>
  <si>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</si>
  <si>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</si>
  <si>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</si>
  <si>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</si>
  <si>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</si>
  <si>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</si>
  <si>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</si>
  <si>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</si>
  <si>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</si>
  <si>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</si>
  <si>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</si>
  <si>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</si>
  <si>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</si>
  <si>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</si>
  <si>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</si>
  <si>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</si>
  <si>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</si>
  <si>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</si>
  <si>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</si>
  <si>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</si>
  <si>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</si>
  <si>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</si>
  <si>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</si>
  <si>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</si>
  <si>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</si>
  <si>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</si>
  <si>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</si>
  <si>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</si>
  <si>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</si>
  <si>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</si>
  <si>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</si>
  <si>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</si>
  <si>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</si>
  <si>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</si>
  <si>
    <t>Уточнений план  на січень-листопад</t>
  </si>
  <si>
    <t>Необхідно ще отримати до плану на січень-листопад</t>
  </si>
  <si>
    <t>% виконання до плану на січень-листопад</t>
  </si>
  <si>
    <r>
      <t>Динаміка  фактичних надходжень січень-листопад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</si>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</sst>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87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322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319</v>
      </c>
      <c r="N3" s="226" t="s">
        <v>320</v>
      </c>
      <c r="O3" s="226"/>
      <c r="P3" s="226"/>
      <c r="Q3" s="226"/>
      <c r="R3" s="226"/>
    </row>
    <row r="4" spans="1:18" ht="22.5" customHeight="1">
      <c r="A4" s="231"/>
      <c r="B4" s="233"/>
      <c r="C4" s="234"/>
      <c r="D4" s="235"/>
      <c r="E4" s="227" t="s">
        <v>315</v>
      </c>
      <c r="F4" s="244" t="s">
        <v>116</v>
      </c>
      <c r="G4" s="246" t="s">
        <v>316</v>
      </c>
      <c r="H4" s="248" t="s">
        <v>317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323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8"/>
      <c r="F5" s="245"/>
      <c r="G5" s="247"/>
      <c r="H5" s="249"/>
      <c r="I5" s="251"/>
      <c r="J5" s="241"/>
      <c r="K5" s="242" t="s">
        <v>318</v>
      </c>
      <c r="L5" s="243"/>
      <c r="M5" s="241"/>
      <c r="N5" s="257"/>
      <c r="O5" s="251"/>
      <c r="P5" s="258"/>
      <c r="Q5" s="242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540643.5700000001</v>
      </c>
      <c r="F8" s="18">
        <f>F9+F15+F18+F19+F20+F32+F17</f>
        <v>608809.78</v>
      </c>
      <c r="G8" s="18">
        <f aca="true" t="shared" si="0" ref="G8:G54">F8-E8</f>
        <v>68166.20999999996</v>
      </c>
      <c r="H8" s="45">
        <f>F8/E8*100</f>
        <v>112.60834564258295</v>
      </c>
      <c r="I8" s="31">
        <f aca="true" t="shared" si="1" ref="I8:I54">F8-D8</f>
        <v>36520.78000000003</v>
      </c>
      <c r="J8" s="31">
        <f aca="true" t="shared" si="2" ref="J8:J14">F8/D8*100</f>
        <v>106.38152751494438</v>
      </c>
      <c r="K8" s="18">
        <f>K9+K15+K18+K19+K20+K32</f>
        <v>162785.82600000006</v>
      </c>
      <c r="L8" s="18"/>
      <c r="M8" s="18">
        <f>M9+M15+M18+M19+M20+M32+M17</f>
        <v>37118.100000000006</v>
      </c>
      <c r="N8" s="18">
        <f>N9+N15+N18+N19+N20+N32+N17</f>
        <v>66223.55000000003</v>
      </c>
      <c r="O8" s="31">
        <f aca="true" t="shared" si="3" ref="O8:O54">N8-M8</f>
        <v>29105.450000000026</v>
      </c>
      <c r="P8" s="31">
        <f>F8/M8*100</f>
        <v>1640.1965079031522</v>
      </c>
      <c r="Q8" s="31">
        <f>N8-33748.16</f>
        <v>32475.39000000003</v>
      </c>
      <c r="R8" s="125">
        <f>N8/33748.16</f>
        <v>1.9622862401979848</v>
      </c>
    </row>
    <row r="9" spans="1:19" s="6" customFormat="1" ht="15.75">
      <c r="A9" s="8"/>
      <c r="B9" s="15" t="s">
        <v>223</v>
      </c>
      <c r="C9" s="59">
        <v>11010000</v>
      </c>
      <c r="D9" s="36">
        <v>312190</v>
      </c>
      <c r="E9" s="36">
        <v>289967.12</v>
      </c>
      <c r="F9" s="143">
        <v>329224.03</v>
      </c>
      <c r="G9" s="43">
        <f t="shared" si="0"/>
        <v>39256.91000000003</v>
      </c>
      <c r="H9" s="35">
        <f aca="true" t="shared" si="4" ref="H9:H38">F9/E9*100</f>
        <v>113.53840049175233</v>
      </c>
      <c r="I9" s="50">
        <f t="shared" si="1"/>
        <v>17034.030000000028</v>
      </c>
      <c r="J9" s="50">
        <f t="shared" si="2"/>
        <v>105.45630225183382</v>
      </c>
      <c r="K9" s="132">
        <f>F9-349197.38/75*60</f>
        <v>49866.12600000005</v>
      </c>
      <c r="L9" s="132">
        <f>F9/(349197.38/75*60)*100</f>
        <v>117.85026494185038</v>
      </c>
      <c r="M9" s="35">
        <f>E9-жовтень!E9</f>
        <v>20102</v>
      </c>
      <c r="N9" s="35">
        <f>F9-жовтень!F9</f>
        <v>32948.70000000001</v>
      </c>
      <c r="O9" s="47">
        <f t="shared" si="3"/>
        <v>12846.700000000012</v>
      </c>
      <c r="P9" s="50">
        <f aca="true" t="shared" si="5" ref="P9:P32">N9/M9*100</f>
        <v>163.90757138593182</v>
      </c>
      <c r="Q9" s="132">
        <f>N9-26568.11</f>
        <v>6380.590000000011</v>
      </c>
      <c r="R9" s="133">
        <f>N9/26568.11</f>
        <v>1.2401597253248353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252360.82</v>
      </c>
      <c r="F10" s="144">
        <v>292222.53</v>
      </c>
      <c r="G10" s="135">
        <f t="shared" si="0"/>
        <v>39861.71000000002</v>
      </c>
      <c r="H10" s="137">
        <f t="shared" si="4"/>
        <v>115.79552245867643</v>
      </c>
      <c r="I10" s="136">
        <f t="shared" si="1"/>
        <v>21812.530000000028</v>
      </c>
      <c r="J10" s="136">
        <f t="shared" si="2"/>
        <v>108.06646573721387</v>
      </c>
      <c r="K10" s="138">
        <f>F10-310040.1/75*60</f>
        <v>44190.45000000007</v>
      </c>
      <c r="L10" s="138">
        <f>F10/(310040.1/75*60)*100</f>
        <v>117.81642519790185</v>
      </c>
      <c r="M10" s="137">
        <f>E10-жовтень!E10</f>
        <v>16400</v>
      </c>
      <c r="N10" s="137">
        <f>F10-жовтень!F10</f>
        <v>29587.25</v>
      </c>
      <c r="O10" s="138">
        <f t="shared" si="3"/>
        <v>13187.25</v>
      </c>
      <c r="P10" s="136">
        <f t="shared" si="5"/>
        <v>180.41006097560975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20969.9</v>
      </c>
      <c r="F11" s="144">
        <v>17520.06</v>
      </c>
      <c r="G11" s="135">
        <f t="shared" si="0"/>
        <v>-3449.84</v>
      </c>
      <c r="H11" s="137">
        <f t="shared" si="4"/>
        <v>83.54861015073986</v>
      </c>
      <c r="I11" s="136">
        <f t="shared" si="1"/>
        <v>-5679.939999999999</v>
      </c>
      <c r="J11" s="136">
        <f t="shared" si="2"/>
        <v>75.5175</v>
      </c>
      <c r="K11" s="138">
        <f>F11-24192.03/75*60</f>
        <v>-1833.5639999999948</v>
      </c>
      <c r="L11" s="138">
        <f>F11/(24192.03/75*60)*100</f>
        <v>90.525991411221</v>
      </c>
      <c r="M11" s="137">
        <f>E11-жовтень!E11</f>
        <v>2052</v>
      </c>
      <c r="N11" s="137">
        <f>F11-жовтень!F11</f>
        <v>1711.0200000000004</v>
      </c>
      <c r="O11" s="138">
        <f t="shared" si="3"/>
        <v>-340.97999999999956</v>
      </c>
      <c r="P11" s="136">
        <f t="shared" si="5"/>
        <v>83.38304093567254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4869</v>
      </c>
      <c r="F12" s="144">
        <v>4581.23</v>
      </c>
      <c r="G12" s="135">
        <f t="shared" si="0"/>
        <v>-287.77000000000044</v>
      </c>
      <c r="H12" s="137">
        <f t="shared" si="4"/>
        <v>94.0897514890121</v>
      </c>
      <c r="I12" s="136">
        <f t="shared" si="1"/>
        <v>-1218.7700000000004</v>
      </c>
      <c r="J12" s="136">
        <f t="shared" si="2"/>
        <v>78.98672413793103</v>
      </c>
      <c r="K12" s="138">
        <f>F12-6123.95/75*60</f>
        <v>-317.9300000000003</v>
      </c>
      <c r="L12" s="138">
        <f>F12/(6123.95*60)*100</f>
        <v>1.2468069356107305</v>
      </c>
      <c r="M12" s="137">
        <f>E12-жовтень!E12</f>
        <v>420</v>
      </c>
      <c r="N12" s="137">
        <f>F12-жовтень!F12</f>
        <v>412.08999999999924</v>
      </c>
      <c r="O12" s="138">
        <f t="shared" si="3"/>
        <v>-7.910000000000764</v>
      </c>
      <c r="P12" s="136">
        <f t="shared" si="5"/>
        <v>98.11666666666649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7783.4</v>
      </c>
      <c r="F13" s="144">
        <v>6730.35</v>
      </c>
      <c r="G13" s="135">
        <f t="shared" si="0"/>
        <v>-1053.0499999999993</v>
      </c>
      <c r="H13" s="137">
        <f t="shared" si="4"/>
        <v>86.4705655626076</v>
      </c>
      <c r="I13" s="136">
        <f t="shared" si="1"/>
        <v>-1669.6499999999996</v>
      </c>
      <c r="J13" s="136">
        <f t="shared" si="2"/>
        <v>80.1232142857143</v>
      </c>
      <c r="K13" s="138">
        <f>F13-8694.58/75*60</f>
        <v>-225.3139999999994</v>
      </c>
      <c r="L13" s="138">
        <f>F13/(8694.58/75*60)*100</f>
        <v>96.7607118457706</v>
      </c>
      <c r="M13" s="137">
        <f>E13-жовтень!E13</f>
        <v>840</v>
      </c>
      <c r="N13" s="137">
        <f>F13-жовтень!F13</f>
        <v>631.4800000000005</v>
      </c>
      <c r="O13" s="138">
        <f t="shared" si="3"/>
        <v>-208.51999999999953</v>
      </c>
      <c r="P13" s="136">
        <f t="shared" si="5"/>
        <v>75.17619047619053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3984</v>
      </c>
      <c r="F14" s="144">
        <v>8169.86</v>
      </c>
      <c r="G14" s="135">
        <f t="shared" si="0"/>
        <v>4185.86</v>
      </c>
      <c r="H14" s="137">
        <f t="shared" si="4"/>
        <v>205.0667670682731</v>
      </c>
      <c r="I14" s="136">
        <f t="shared" si="1"/>
        <v>3789.8599999999997</v>
      </c>
      <c r="J14" s="136">
        <f t="shared" si="2"/>
        <v>186.52648401826482</v>
      </c>
      <c r="K14" s="138">
        <f>F14-146.72/75*60</f>
        <v>8052.4839999999995</v>
      </c>
      <c r="L14" s="138">
        <f>F14/(146.72/75*60)*100</f>
        <v>6960.41780261723</v>
      </c>
      <c r="M14" s="137">
        <f>E14-жовтень!E14</f>
        <v>390</v>
      </c>
      <c r="N14" s="137">
        <f>F14-жовтень!F14</f>
        <v>606.8899999999994</v>
      </c>
      <c r="O14" s="138">
        <f t="shared" si="3"/>
        <v>216.88999999999942</v>
      </c>
      <c r="P14" s="136">
        <f t="shared" si="5"/>
        <v>155.61282051282038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-536.92</v>
      </c>
      <c r="G15" s="43">
        <f t="shared" si="0"/>
        <v>-708.3199999999999</v>
      </c>
      <c r="H15" s="35"/>
      <c r="I15" s="50">
        <f t="shared" si="1"/>
        <v>-1036.92</v>
      </c>
      <c r="J15" s="50">
        <f>F15/D15*100</f>
        <v>-107.38399999999999</v>
      </c>
      <c r="K15" s="53">
        <f>F15-(-1352.56)</f>
        <v>815.64</v>
      </c>
      <c r="L15" s="53">
        <f>F15/(-1352.56)*100</f>
        <v>39.696575382977464</v>
      </c>
      <c r="M15" s="35">
        <f>E15-жовтень!E15</f>
        <v>0</v>
      </c>
      <c r="N15" s="35">
        <f>F15-жовтень!F15</f>
        <v>53.950000000000045</v>
      </c>
      <c r="O15" s="47">
        <f t="shared" si="3"/>
        <v>53.950000000000045</v>
      </c>
      <c r="P15" s="50"/>
      <c r="Q15" s="50">
        <f>N15-358.81</f>
        <v>-304.85999999999996</v>
      </c>
      <c r="R15" s="126">
        <f>N15/358.81</f>
        <v>0.15035812825729508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E16-жовтень!E16</f>
        <v>0</v>
      </c>
      <c r="N16" s="35">
        <f>F16-жовтень!F16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E17-жовтень!E17</f>
        <v>0</v>
      </c>
      <c r="N17" s="35">
        <f>F17-жовтень!F17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19</v>
      </c>
      <c r="F18" s="143">
        <v>107.4</v>
      </c>
      <c r="G18" s="43">
        <f t="shared" si="0"/>
        <v>88.4</v>
      </c>
      <c r="H18" s="35">
        <f t="shared" si="4"/>
        <v>565.2631578947369</v>
      </c>
      <c r="I18" s="50">
        <f t="shared" si="1"/>
        <v>88.4</v>
      </c>
      <c r="J18" s="50">
        <f>F18/D18*100</f>
        <v>565.2631578947369</v>
      </c>
      <c r="K18" s="53">
        <f>F18-31.36</f>
        <v>76.04</v>
      </c>
      <c r="L18" s="138">
        <f>F18/31.36*100</f>
        <v>342.4744897959184</v>
      </c>
      <c r="M18" s="35">
        <f>E18-жовтень!E18</f>
        <v>6</v>
      </c>
      <c r="N18" s="35">
        <f>F18-жовтень!F18</f>
        <v>91.60000000000001</v>
      </c>
      <c r="O18" s="47">
        <f t="shared" si="3"/>
        <v>85.60000000000001</v>
      </c>
      <c r="P18" s="50">
        <f t="shared" si="5"/>
        <v>1526.6666666666667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61662.75</v>
      </c>
      <c r="F19" s="168">
        <v>65538.97</v>
      </c>
      <c r="G19" s="43">
        <f t="shared" si="0"/>
        <v>3876.220000000001</v>
      </c>
      <c r="H19" s="35">
        <f t="shared" si="4"/>
        <v>106.28616141836036</v>
      </c>
      <c r="I19" s="50">
        <f t="shared" si="1"/>
        <v>3328.970000000001</v>
      </c>
      <c r="J19" s="178">
        <f>F19/D19*100</f>
        <v>105.35118148207683</v>
      </c>
      <c r="K19" s="179">
        <f>F19-0</f>
        <v>65538.97</v>
      </c>
      <c r="L19" s="180"/>
      <c r="M19" s="35">
        <f>E19-жовтень!E19</f>
        <v>4140</v>
      </c>
      <c r="N19" s="35">
        <f>F19-жовтень!F19</f>
        <v>7053.919999999998</v>
      </c>
      <c r="O19" s="47">
        <f t="shared" si="3"/>
        <v>2913.9199999999983</v>
      </c>
      <c r="P19" s="50">
        <f t="shared" si="5"/>
        <v>170.3845410628019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181323.5</v>
      </c>
      <c r="F20" s="169">
        <f>F21+F25+F27+F26</f>
        <v>207711.81</v>
      </c>
      <c r="G20" s="43">
        <f t="shared" si="0"/>
        <v>26388.309999999998</v>
      </c>
      <c r="H20" s="35">
        <f t="shared" si="4"/>
        <v>114.5531660264665</v>
      </c>
      <c r="I20" s="50">
        <f t="shared" si="1"/>
        <v>17841.809999999998</v>
      </c>
      <c r="J20" s="178">
        <f aca="true" t="shared" si="6" ref="J20:J46">F20/D20*100</f>
        <v>109.39685574340339</v>
      </c>
      <c r="K20" s="178">
        <f>K21+K25+K26+K27</f>
        <v>47103.65999999999</v>
      </c>
      <c r="L20" s="136"/>
      <c r="M20" s="35">
        <f>E20-жовтень!E20</f>
        <v>11129.600000000006</v>
      </c>
      <c r="N20" s="35">
        <f>F20-жовтень!F20</f>
        <v>24896.780000000028</v>
      </c>
      <c r="O20" s="47">
        <f t="shared" si="3"/>
        <v>13767.180000000022</v>
      </c>
      <c r="P20" s="50">
        <f t="shared" si="5"/>
        <v>223.69878522139172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104515</v>
      </c>
      <c r="F21" s="169">
        <f>F22+F23+F24</f>
        <v>109750.31</v>
      </c>
      <c r="G21" s="43">
        <f t="shared" si="0"/>
        <v>5235.309999999998</v>
      </c>
      <c r="H21" s="35">
        <f t="shared" si="4"/>
        <v>105.00914701239057</v>
      </c>
      <c r="I21" s="50">
        <f t="shared" si="1"/>
        <v>-549.6900000000023</v>
      </c>
      <c r="J21" s="178">
        <f t="shared" si="6"/>
        <v>99.50164097914778</v>
      </c>
      <c r="K21" s="178">
        <f>K22+K23+K24</f>
        <v>34297.56999999999</v>
      </c>
      <c r="L21" s="136"/>
      <c r="M21" s="35">
        <f>E21-жовтень!E21</f>
        <v>8232.600000000006</v>
      </c>
      <c r="N21" s="35">
        <f>F21-жовтень!F21</f>
        <v>8975.520000000004</v>
      </c>
      <c r="O21" s="47">
        <f t="shared" si="3"/>
        <v>742.9199999999983</v>
      </c>
      <c r="P21" s="50">
        <f t="shared" si="5"/>
        <v>109.02412360615112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10600+100</f>
        <v>10700</v>
      </c>
      <c r="F22" s="144">
        <v>12713.66</v>
      </c>
      <c r="G22" s="135">
        <f t="shared" si="0"/>
        <v>2013.6599999999999</v>
      </c>
      <c r="H22" s="137">
        <f t="shared" si="4"/>
        <v>118.81925233644859</v>
      </c>
      <c r="I22" s="136">
        <f t="shared" si="1"/>
        <v>2013.6599999999999</v>
      </c>
      <c r="J22" s="136">
        <f t="shared" si="6"/>
        <v>118.81925233644859</v>
      </c>
      <c r="K22" s="136">
        <f>F22-454.97</f>
        <v>12258.69</v>
      </c>
      <c r="L22" s="136">
        <f>F22/454.97*100</f>
        <v>2794.395234850649</v>
      </c>
      <c r="M22" s="137">
        <f>E22-жовтень!E22</f>
        <v>54.600000000000364</v>
      </c>
      <c r="N22" s="137">
        <f>F22-жовтень!F22</f>
        <v>227.53000000000065</v>
      </c>
      <c r="O22" s="138">
        <f t="shared" si="3"/>
        <v>172.9300000000003</v>
      </c>
      <c r="P22" s="136">
        <f t="shared" si="5"/>
        <v>416.72161172161015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2100</v>
      </c>
      <c r="F23" s="144">
        <v>3649.2</v>
      </c>
      <c r="G23" s="135">
        <f t="shared" si="0"/>
        <v>1549.1999999999998</v>
      </c>
      <c r="H23" s="137">
        <f t="shared" si="4"/>
        <v>173.77142857142854</v>
      </c>
      <c r="I23" s="136">
        <f t="shared" si="1"/>
        <v>1549.1999999999998</v>
      </c>
      <c r="J23" s="136">
        <f t="shared" si="6"/>
        <v>173.77142857142854</v>
      </c>
      <c r="K23" s="136">
        <f>F23-0</f>
        <v>3649.2</v>
      </c>
      <c r="L23" s="136"/>
      <c r="M23" s="137">
        <f>E23-жовтень!E23</f>
        <v>8</v>
      </c>
      <c r="N23" s="137">
        <f>F23-жовтень!F23</f>
        <v>155.23999999999978</v>
      </c>
      <c r="O23" s="138">
        <f t="shared" si="3"/>
        <v>147.23999999999978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91715</v>
      </c>
      <c r="F24" s="144">
        <v>93387.45</v>
      </c>
      <c r="G24" s="135">
        <f t="shared" si="0"/>
        <v>1672.449999999997</v>
      </c>
      <c r="H24" s="137">
        <f t="shared" si="4"/>
        <v>101.82352941176471</v>
      </c>
      <c r="I24" s="136">
        <f t="shared" si="1"/>
        <v>-4112.550000000003</v>
      </c>
      <c r="J24" s="136">
        <f t="shared" si="6"/>
        <v>95.782</v>
      </c>
      <c r="K24" s="224">
        <f>F24-74997.77</f>
        <v>18389.679999999993</v>
      </c>
      <c r="L24" s="224">
        <f>F24/74997.77*100</f>
        <v>124.52030240365812</v>
      </c>
      <c r="M24" s="137">
        <f>E24-жовтень!E24</f>
        <v>8170</v>
      </c>
      <c r="N24" s="137">
        <f>F24-жовтень!F24</f>
        <v>8592.75</v>
      </c>
      <c r="O24" s="138">
        <f t="shared" si="3"/>
        <v>422.75</v>
      </c>
      <c r="P24" s="136">
        <f t="shared" si="5"/>
        <v>105.17441860465115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63.5</v>
      </c>
      <c r="F25" s="168">
        <v>74.09</v>
      </c>
      <c r="G25" s="43">
        <f t="shared" si="0"/>
        <v>10.590000000000003</v>
      </c>
      <c r="H25" s="35">
        <f t="shared" si="4"/>
        <v>116.6771653543307</v>
      </c>
      <c r="I25" s="50">
        <f t="shared" si="1"/>
        <v>4.090000000000003</v>
      </c>
      <c r="J25" s="178">
        <f t="shared" si="6"/>
        <v>105.84285714285716</v>
      </c>
      <c r="K25" s="178">
        <f>F25-65.36</f>
        <v>8.730000000000004</v>
      </c>
      <c r="L25" s="178">
        <f>F25/65.36*100</f>
        <v>113.35679314565483</v>
      </c>
      <c r="M25" s="35">
        <f>E25-жовтень!E25</f>
        <v>12</v>
      </c>
      <c r="N25" s="35">
        <f>F25-жовтень!F25</f>
        <v>13.450000000000003</v>
      </c>
      <c r="O25" s="47">
        <f t="shared" si="3"/>
        <v>1.4500000000000028</v>
      </c>
      <c r="P25" s="50">
        <f t="shared" si="5"/>
        <v>112.08333333333336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-772.87</v>
      </c>
      <c r="G26" s="43">
        <f t="shared" si="0"/>
        <v>-772.87</v>
      </c>
      <c r="H26" s="35"/>
      <c r="I26" s="50">
        <f t="shared" si="1"/>
        <v>-772.87</v>
      </c>
      <c r="J26" s="136"/>
      <c r="K26" s="178">
        <f>F26-5772.25</f>
        <v>-6545.12</v>
      </c>
      <c r="L26" s="178">
        <f>F26/5772.25*100</f>
        <v>-13.389406210749707</v>
      </c>
      <c r="M26" s="35">
        <f>E26-жовтень!E26</f>
        <v>0</v>
      </c>
      <c r="N26" s="35">
        <f>F26-жовтень!F26</f>
        <v>-31.92999999999995</v>
      </c>
      <c r="O26" s="47">
        <f t="shared" si="3"/>
        <v>-31.92999999999995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76745</v>
      </c>
      <c r="F27" s="168">
        <v>98660.28</v>
      </c>
      <c r="G27" s="43">
        <f t="shared" si="0"/>
        <v>21915.28</v>
      </c>
      <c r="H27" s="35">
        <f t="shared" si="4"/>
        <v>128.55597107303407</v>
      </c>
      <c r="I27" s="50">
        <f t="shared" si="1"/>
        <v>19160.28</v>
      </c>
      <c r="J27" s="178">
        <f t="shared" si="6"/>
        <v>124.10098113207546</v>
      </c>
      <c r="K27" s="132">
        <f>F27-79317.8</f>
        <v>19342.479999999996</v>
      </c>
      <c r="L27" s="132">
        <f>F27/79317.8*100</f>
        <v>124.38605205893253</v>
      </c>
      <c r="M27" s="35">
        <f>E27-жовтень!E27</f>
        <v>2885</v>
      </c>
      <c r="N27" s="35">
        <f>F27-жовтень!F27</f>
        <v>15939.740000000005</v>
      </c>
      <c r="O27" s="47">
        <f t="shared" si="3"/>
        <v>13054.740000000005</v>
      </c>
      <c r="P27" s="50">
        <f t="shared" si="5"/>
        <v>552.5039861351821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-1.15</v>
      </c>
      <c r="G28" s="135">
        <f t="shared" si="0"/>
        <v>-1.15</v>
      </c>
      <c r="H28" s="137"/>
      <c r="I28" s="136">
        <f t="shared" si="1"/>
        <v>-1.15</v>
      </c>
      <c r="J28" s="136"/>
      <c r="K28" s="139">
        <f>F28-1.21</f>
        <v>-2.36</v>
      </c>
      <c r="L28" s="139">
        <f>F28/1.21*100</f>
        <v>-95.04132231404958</v>
      </c>
      <c r="M28" s="137">
        <f>E28-жовтень!E28</f>
        <v>0</v>
      </c>
      <c r="N28" s="137">
        <f>F28-вересень!F28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18810</v>
      </c>
      <c r="F29" s="144">
        <v>23706.55</v>
      </c>
      <c r="G29" s="135">
        <f t="shared" si="0"/>
        <v>4896.549999999999</v>
      </c>
      <c r="H29" s="137">
        <f t="shared" si="4"/>
        <v>126.03163211057948</v>
      </c>
      <c r="I29" s="136">
        <f t="shared" si="1"/>
        <v>4506.549999999999</v>
      </c>
      <c r="J29" s="136">
        <f t="shared" si="6"/>
        <v>123.47161458333333</v>
      </c>
      <c r="K29" s="139">
        <f>F29-22211.27</f>
        <v>1495.2799999999988</v>
      </c>
      <c r="L29" s="139">
        <f>F29/22211.27*100</f>
        <v>106.73207790459527</v>
      </c>
      <c r="M29" s="137">
        <f>E29-жовтень!E29</f>
        <v>730</v>
      </c>
      <c r="N29" s="137">
        <f>F29-жовтень!F29</f>
        <v>3743.2199999999975</v>
      </c>
      <c r="O29" s="138">
        <f t="shared" si="3"/>
        <v>3013.2199999999975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57935</v>
      </c>
      <c r="F30" s="144">
        <v>74922.37</v>
      </c>
      <c r="G30" s="135">
        <f t="shared" si="0"/>
        <v>16987.369999999995</v>
      </c>
      <c r="H30" s="137">
        <f t="shared" si="4"/>
        <v>129.32142918788296</v>
      </c>
      <c r="I30" s="136">
        <f t="shared" si="1"/>
        <v>14622.369999999995</v>
      </c>
      <c r="J30" s="136">
        <f t="shared" si="6"/>
        <v>124.24936981757877</v>
      </c>
      <c r="K30" s="139">
        <f>F30-57105.32</f>
        <v>17817.049999999996</v>
      </c>
      <c r="L30" s="139">
        <f>F30/57105.32*100</f>
        <v>131.20033299874686</v>
      </c>
      <c r="M30" s="137">
        <f>E30-жовтень!E30</f>
        <v>2155</v>
      </c>
      <c r="N30" s="137">
        <f>F30-жовтень!F30</f>
        <v>12192.879999999997</v>
      </c>
      <c r="O30" s="138">
        <f t="shared" si="3"/>
        <v>10037.879999999997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32.51</v>
      </c>
      <c r="G31" s="135">
        <f t="shared" si="0"/>
        <v>32.51</v>
      </c>
      <c r="H31" s="137"/>
      <c r="I31" s="136">
        <f t="shared" si="1"/>
        <v>32.51</v>
      </c>
      <c r="J31" s="136"/>
      <c r="K31" s="139">
        <f>F31-0</f>
        <v>32.51</v>
      </c>
      <c r="L31" s="139"/>
      <c r="M31" s="137">
        <f>E31-жовтень!E31</f>
        <v>0</v>
      </c>
      <c r="N31" s="137">
        <f>F31-жовтень!F31</f>
        <v>3.6199999999999974</v>
      </c>
      <c r="O31" s="138">
        <f t="shared" si="3"/>
        <v>3.6199999999999974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7499.8</v>
      </c>
      <c r="F32" s="168">
        <v>6764.35</v>
      </c>
      <c r="G32" s="43">
        <f t="shared" si="0"/>
        <v>-735.4499999999998</v>
      </c>
      <c r="H32" s="35">
        <f t="shared" si="4"/>
        <v>90.19373849969334</v>
      </c>
      <c r="I32" s="50">
        <f t="shared" si="1"/>
        <v>-735.6499999999996</v>
      </c>
      <c r="J32" s="178">
        <f t="shared" si="6"/>
        <v>90.19133333333333</v>
      </c>
      <c r="K32" s="178">
        <f>F32-7378.96</f>
        <v>-614.6099999999997</v>
      </c>
      <c r="L32" s="178">
        <f>F32/7378.96*100</f>
        <v>91.67077745373332</v>
      </c>
      <c r="M32" s="35">
        <f>E32-жовтень!E32</f>
        <v>1740.5</v>
      </c>
      <c r="N32" s="35">
        <f>F32-жовтень!F32</f>
        <v>1178.6000000000004</v>
      </c>
      <c r="O32" s="47">
        <f t="shared" si="3"/>
        <v>-561.8999999999996</v>
      </c>
      <c r="P32" s="50">
        <f t="shared" si="5"/>
        <v>67.71617351335824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37339.57</v>
      </c>
      <c r="E33" s="18">
        <f>E34+E35+E36+E37+E38+E41+E42+E47+E48+E52+E40+E39</f>
        <v>35944.57</v>
      </c>
      <c r="F33" s="18">
        <f>F34+F35+F36+F37+F38+F41+F42+F47+F48+F52+F40+F39+F51</f>
        <v>41741.88</v>
      </c>
      <c r="G33" s="44">
        <f t="shared" si="0"/>
        <v>5797.309999999998</v>
      </c>
      <c r="H33" s="45">
        <f t="shared" si="4"/>
        <v>116.128472256032</v>
      </c>
      <c r="I33" s="31">
        <f t="shared" si="1"/>
        <v>4402.309999999998</v>
      </c>
      <c r="J33" s="31">
        <f t="shared" si="6"/>
        <v>111.78993223542746</v>
      </c>
      <c r="K33" s="18">
        <f>K34+K35+K36+K37+K38+K41+K42+K47+K48+K52+K40</f>
        <v>29842.15</v>
      </c>
      <c r="L33" s="18"/>
      <c r="M33" s="18">
        <f>M34+M35+M36+M37+M38+M41+M42+M47+M48+M52+M40+M39</f>
        <v>3394.300000000001</v>
      </c>
      <c r="N33" s="18">
        <f>N34+N35+N36+N37+N38+N41+N42+N47+N48+N52+N40+N39</f>
        <v>6660.129999999997</v>
      </c>
      <c r="O33" s="49">
        <f t="shared" si="3"/>
        <v>3265.8299999999963</v>
      </c>
      <c r="P33" s="31">
        <f>N33/M33*100</f>
        <v>196.21512535721638</v>
      </c>
      <c r="Q33" s="31">
        <f>N33-1017.63</f>
        <v>5642.499999999997</v>
      </c>
      <c r="R33" s="127">
        <f>N33/1017.63</f>
        <v>6.5447461258021065</v>
      </c>
    </row>
    <row r="34" spans="1:18" s="6" customFormat="1" ht="47.25">
      <c r="A34" s="8"/>
      <c r="B34" s="60" t="s">
        <v>321</v>
      </c>
      <c r="C34" s="59">
        <v>21010301</v>
      </c>
      <c r="D34" s="36">
        <f>200-100-100</f>
        <v>0</v>
      </c>
      <c r="E34" s="36">
        <f>140-40</f>
        <v>100</v>
      </c>
      <c r="F34" s="143">
        <v>0.21</v>
      </c>
      <c r="G34" s="43">
        <f t="shared" si="0"/>
        <v>-99.79</v>
      </c>
      <c r="H34" s="35">
        <f t="shared" si="4"/>
        <v>0.21</v>
      </c>
      <c r="I34" s="50">
        <f t="shared" si="1"/>
        <v>0.21</v>
      </c>
      <c r="J34" s="50" t="e">
        <f t="shared" si="6"/>
        <v>#DIV/0!</v>
      </c>
      <c r="K34" s="50">
        <f>F34-153.52</f>
        <v>-153.31</v>
      </c>
      <c r="L34" s="50">
        <f>F34/153.52*100</f>
        <v>0.13678999478895257</v>
      </c>
      <c r="M34" s="35">
        <f>E34-жовтень!E34</f>
        <v>0</v>
      </c>
      <c r="N34" s="35">
        <f>F34-жовтень!F34</f>
        <v>58</v>
      </c>
      <c r="O34" s="47">
        <f t="shared" si="3"/>
        <v>58</v>
      </c>
      <c r="P34" s="50" t="e">
        <f>N34/M34*100</f>
        <v>#DIV/0!</v>
      </c>
      <c r="Q34" s="50">
        <f>N34-0</f>
        <v>58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1000+6932.47+110.1+1700</f>
        <v>9742.57</v>
      </c>
      <c r="E35" s="36">
        <f>7882.47+1+1700</f>
        <v>9583.470000000001</v>
      </c>
      <c r="F35" s="143">
        <v>12874.31</v>
      </c>
      <c r="G35" s="43">
        <f t="shared" si="0"/>
        <v>3290.8399999999983</v>
      </c>
      <c r="H35" s="35">
        <f t="shared" si="4"/>
        <v>134.33871030013137</v>
      </c>
      <c r="I35" s="50">
        <f t="shared" si="1"/>
        <v>3131.74</v>
      </c>
      <c r="J35" s="50"/>
      <c r="K35" s="50">
        <f>F35-0</f>
        <v>12874.31</v>
      </c>
      <c r="L35" s="50" t="e">
        <f>F35/0*100</f>
        <v>#DIV/0!</v>
      </c>
      <c r="M35" s="35">
        <f>E35-жовтень!E35</f>
        <v>1951.000000000001</v>
      </c>
      <c r="N35" s="35">
        <f>F35-жовтень!F35</f>
        <v>4439.379999999999</v>
      </c>
      <c r="O35" s="47">
        <f t="shared" si="3"/>
        <v>2488.3799999999983</v>
      </c>
      <c r="P35" s="50"/>
      <c r="Q35" s="50">
        <f>N35-0</f>
        <v>4439.379999999999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379.93</v>
      </c>
      <c r="G36" s="43">
        <f t="shared" si="0"/>
        <v>139.93</v>
      </c>
      <c r="H36" s="35">
        <f t="shared" si="4"/>
        <v>158.30416666666667</v>
      </c>
      <c r="I36" s="50">
        <f t="shared" si="1"/>
        <v>139.93</v>
      </c>
      <c r="J36" s="50"/>
      <c r="K36" s="50">
        <f>F36-242.79</f>
        <v>137.14000000000001</v>
      </c>
      <c r="L36" s="50">
        <f>F36/242.79*100</f>
        <v>156.48502821368263</v>
      </c>
      <c r="M36" s="35">
        <f>E36-жовтень!E36</f>
        <v>0</v>
      </c>
      <c r="N36" s="35">
        <f>F36-жовтень!F36</f>
        <v>30.120000000000005</v>
      </c>
      <c r="O36" s="47">
        <f t="shared" si="3"/>
        <v>30.120000000000005</v>
      </c>
      <c r="P36" s="50"/>
      <c r="Q36" s="50">
        <f>N36-4.23</f>
        <v>25.890000000000004</v>
      </c>
      <c r="R36" s="126">
        <f>N36/4.23</f>
        <v>7.120567375886525</v>
      </c>
    </row>
    <row r="37" spans="1:18" s="6" customFormat="1" ht="31.5">
      <c r="A37" s="8"/>
      <c r="B37" s="30" t="s">
        <v>123</v>
      </c>
      <c r="C37" s="94">
        <v>21080900</v>
      </c>
      <c r="D37" s="36">
        <f>6.5-6.5</f>
        <v>0</v>
      </c>
      <c r="E37" s="36">
        <f>5.5-1</f>
        <v>4.5</v>
      </c>
      <c r="F37" s="143">
        <v>1.02</v>
      </c>
      <c r="G37" s="43">
        <f t="shared" si="0"/>
        <v>-3.48</v>
      </c>
      <c r="H37" s="35">
        <f t="shared" si="4"/>
        <v>22.666666666666668</v>
      </c>
      <c r="I37" s="50">
        <f t="shared" si="1"/>
        <v>1.02</v>
      </c>
      <c r="J37" s="50" t="e">
        <f t="shared" si="6"/>
        <v>#DIV/0!</v>
      </c>
      <c r="K37" s="50">
        <f>F37-5.94</f>
        <v>-4.92</v>
      </c>
      <c r="L37" s="50">
        <f>F37/5.94*100</f>
        <v>17.17171717171717</v>
      </c>
      <c r="M37" s="35">
        <f>E37-жовтень!E37</f>
        <v>0</v>
      </c>
      <c r="N37" s="35">
        <f>F37-жовтень!F37</f>
        <v>1.02</v>
      </c>
      <c r="O37" s="47">
        <f t="shared" si="3"/>
        <v>1.02</v>
      </c>
      <c r="P37" s="50" t="e">
        <f>N37/M37*100</f>
        <v>#DIV/0!</v>
      </c>
      <c r="Q37" s="50">
        <f>N37-0</f>
        <v>1.02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130</v>
      </c>
      <c r="F38" s="143">
        <v>267.84</v>
      </c>
      <c r="G38" s="43">
        <f t="shared" si="0"/>
        <v>137.83999999999997</v>
      </c>
      <c r="H38" s="35">
        <f t="shared" si="4"/>
        <v>206.03076923076918</v>
      </c>
      <c r="I38" s="50">
        <f t="shared" si="1"/>
        <v>127.83999999999997</v>
      </c>
      <c r="J38" s="50">
        <f t="shared" si="6"/>
        <v>191.31428571428572</v>
      </c>
      <c r="K38" s="50">
        <f>F38-121.56</f>
        <v>146.27999999999997</v>
      </c>
      <c r="L38" s="50">
        <f>F38/121.56*100</f>
        <v>220.3356367226061</v>
      </c>
      <c r="M38" s="35">
        <f>E38-жовтень!E38</f>
        <v>10</v>
      </c>
      <c r="N38" s="35">
        <f>F38-жовтень!F38</f>
        <v>11.96999999999997</v>
      </c>
      <c r="O38" s="47">
        <f t="shared" si="3"/>
        <v>1.9699999999999704</v>
      </c>
      <c r="P38" s="50">
        <f>N38/M38*100</f>
        <v>119.69999999999969</v>
      </c>
      <c r="Q38" s="50">
        <f>N38-9.02</f>
        <v>2.949999999999971</v>
      </c>
      <c r="R38" s="126">
        <f>N38/9.02</f>
        <v>1.3270509977827019</v>
      </c>
    </row>
    <row r="39" spans="1:18" s="6" customFormat="1" ht="47.25" hidden="1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E39-жовтень!E39</f>
        <v>0</v>
      </c>
      <c r="N39" s="35">
        <f>F39-жовтень!F39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f>9000-100</f>
        <v>8900</v>
      </c>
      <c r="F40" s="143">
        <v>8884.64</v>
      </c>
      <c r="G40" s="43">
        <f t="shared" si="0"/>
        <v>-15.360000000000582</v>
      </c>
      <c r="H40" s="35">
        <f aca="true" t="shared" si="7" ref="H40:H46">F40/E40*100</f>
        <v>99.82741573033708</v>
      </c>
      <c r="I40" s="50">
        <f t="shared" si="1"/>
        <v>-115.36000000000058</v>
      </c>
      <c r="J40" s="50"/>
      <c r="K40" s="50">
        <f>F40-0</f>
        <v>8884.64</v>
      </c>
      <c r="L40" s="50"/>
      <c r="M40" s="35">
        <f>E40-жовтень!E40</f>
        <v>63</v>
      </c>
      <c r="N40" s="35">
        <f>F40-жовтень!F40</f>
        <v>500.9399999999987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6350</v>
      </c>
      <c r="F41" s="143">
        <v>8180.78</v>
      </c>
      <c r="G41" s="43">
        <f t="shared" si="0"/>
        <v>1830.7799999999997</v>
      </c>
      <c r="H41" s="35">
        <f t="shared" si="7"/>
        <v>128.8311811023622</v>
      </c>
      <c r="I41" s="50">
        <f t="shared" si="1"/>
        <v>1280.7799999999997</v>
      </c>
      <c r="J41" s="50">
        <f t="shared" si="6"/>
        <v>118.56202898550725</v>
      </c>
      <c r="K41" s="50">
        <f>F41-6573.91</f>
        <v>1606.87</v>
      </c>
      <c r="L41" s="50">
        <f>F41/6573.91*100</f>
        <v>124.44313962314666</v>
      </c>
      <c r="M41" s="35">
        <f>E41-жовтень!E41</f>
        <v>580</v>
      </c>
      <c r="N41" s="35">
        <f>F41-жовтень!F41</f>
        <v>687.96</v>
      </c>
      <c r="O41" s="47">
        <f t="shared" si="3"/>
        <v>107.96000000000004</v>
      </c>
      <c r="P41" s="50">
        <f>N41/M41*100</f>
        <v>118.61379310344829</v>
      </c>
      <c r="Q41" s="50">
        <f>N41-647.49</f>
        <v>40.47000000000003</v>
      </c>
      <c r="R41" s="126">
        <f>N41/647.49</f>
        <v>1.0625028957976186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6811.6</v>
      </c>
      <c r="F42" s="143">
        <v>6761.32</v>
      </c>
      <c r="G42" s="43">
        <f t="shared" si="0"/>
        <v>-50.280000000000655</v>
      </c>
      <c r="H42" s="35">
        <f t="shared" si="7"/>
        <v>99.26184743672557</v>
      </c>
      <c r="I42" s="50">
        <f t="shared" si="1"/>
        <v>-338.6800000000003</v>
      </c>
      <c r="J42" s="50">
        <f t="shared" si="6"/>
        <v>95.22985915492957</v>
      </c>
      <c r="K42" s="50">
        <f>F42-975.44</f>
        <v>5785.879999999999</v>
      </c>
      <c r="L42" s="50">
        <f>F42/975.44*100</f>
        <v>693.1559091281882</v>
      </c>
      <c r="M42" s="35">
        <f>E42-жовтень!E42</f>
        <v>420.3000000000002</v>
      </c>
      <c r="N42" s="35">
        <f>F42-жовтень!F42</f>
        <v>573.7699999999995</v>
      </c>
      <c r="O42" s="47">
        <f t="shared" si="3"/>
        <v>153.46999999999935</v>
      </c>
      <c r="P42" s="50">
        <f>N42/M42*100</f>
        <v>136.51439448013306</v>
      </c>
      <c r="Q42" s="50">
        <f>N42-79.51</f>
        <v>494.25999999999954</v>
      </c>
      <c r="R42" s="126">
        <f>N42/79.51</f>
        <v>7.216324990567218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1010</v>
      </c>
      <c r="F43" s="144">
        <v>1017.62</v>
      </c>
      <c r="G43" s="135">
        <f t="shared" si="0"/>
        <v>7.6200000000000045</v>
      </c>
      <c r="H43" s="35">
        <f t="shared" si="7"/>
        <v>100.75445544554455</v>
      </c>
      <c r="I43" s="136">
        <f t="shared" si="1"/>
        <v>-82.38</v>
      </c>
      <c r="J43" s="136">
        <f t="shared" si="6"/>
        <v>92.51090909090908</v>
      </c>
      <c r="K43" s="136">
        <f>F43-857.86</f>
        <v>159.76</v>
      </c>
      <c r="L43" s="136">
        <f>F43/857.86*100</f>
        <v>118.62308535192223</v>
      </c>
      <c r="M43" s="137">
        <f>E43-жовтень!E43</f>
        <v>100</v>
      </c>
      <c r="N43" s="137">
        <f>F43-жовтень!F43</f>
        <v>133.85000000000002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80</v>
      </c>
      <c r="F44" s="144">
        <v>44.15</v>
      </c>
      <c r="G44" s="135">
        <f t="shared" si="0"/>
        <v>-35.85</v>
      </c>
      <c r="H44" s="35">
        <f t="shared" si="7"/>
        <v>55.1875</v>
      </c>
      <c r="I44" s="136">
        <f t="shared" si="1"/>
        <v>-35.85</v>
      </c>
      <c r="J44" s="136"/>
      <c r="K44" s="136">
        <f>F44-0</f>
        <v>44.15</v>
      </c>
      <c r="L44" s="136"/>
      <c r="M44" s="137">
        <f>E44-жовтень!E44</f>
        <v>10</v>
      </c>
      <c r="N44" s="137">
        <f>F44-жовтень!F44</f>
        <v>0.03999999999999915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1.6</v>
      </c>
      <c r="F45" s="144">
        <v>0.75</v>
      </c>
      <c r="G45" s="135">
        <f t="shared" si="0"/>
        <v>-0.8500000000000001</v>
      </c>
      <c r="H45" s="35">
        <f t="shared" si="7"/>
        <v>46.875</v>
      </c>
      <c r="I45" s="136">
        <f t="shared" si="1"/>
        <v>-1.25</v>
      </c>
      <c r="J45" s="136"/>
      <c r="K45" s="136">
        <f>F45-0</f>
        <v>0.75</v>
      </c>
      <c r="L45" s="136"/>
      <c r="M45" s="137">
        <f>E45-жовтень!E45</f>
        <v>0.30000000000000004</v>
      </c>
      <c r="N45" s="137">
        <f>F45-жовтень!F45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5720</v>
      </c>
      <c r="F46" s="144">
        <v>5698.8</v>
      </c>
      <c r="G46" s="135">
        <f t="shared" si="0"/>
        <v>-21.199999999999818</v>
      </c>
      <c r="H46" s="35">
        <f t="shared" si="7"/>
        <v>99.62937062937063</v>
      </c>
      <c r="I46" s="136">
        <f t="shared" si="1"/>
        <v>-219.19999999999982</v>
      </c>
      <c r="J46" s="136">
        <f t="shared" si="6"/>
        <v>96.29604596147348</v>
      </c>
      <c r="K46" s="136">
        <f>F46-117.58</f>
        <v>5581.22</v>
      </c>
      <c r="L46" s="136">
        <f>F46/117.58*100</f>
        <v>4846.742643306685</v>
      </c>
      <c r="M46" s="137">
        <f>E46-жовтень!E46</f>
        <v>310</v>
      </c>
      <c r="N46" s="137">
        <f>F46-жовтень!F46</f>
        <v>439.8800000000001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f>7.6-3.6</f>
        <v>3.9999999999999996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-0.10999999999999943</v>
      </c>
      <c r="J47" s="50"/>
      <c r="K47" s="50">
        <f>F47-0.53</f>
        <v>3.3600000000000003</v>
      </c>
      <c r="L47" s="50"/>
      <c r="M47" s="35">
        <f>E47-жовтень!E47</f>
        <v>0</v>
      </c>
      <c r="N47" s="35">
        <f>F47-жовтень!F47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3820</v>
      </c>
      <c r="F48" s="143">
        <v>4367.82</v>
      </c>
      <c r="G48" s="43">
        <f t="shared" si="0"/>
        <v>547.8199999999997</v>
      </c>
      <c r="H48" s="35">
        <f>F48/E48*100</f>
        <v>114.34083769633507</v>
      </c>
      <c r="I48" s="50">
        <f t="shared" si="1"/>
        <v>167.8199999999997</v>
      </c>
      <c r="J48" s="50">
        <f>F48/D48*100</f>
        <v>103.99571428571429</v>
      </c>
      <c r="K48" s="50">
        <f>F48-3812.69</f>
        <v>555.1299999999997</v>
      </c>
      <c r="L48" s="50">
        <f>F48/3812.69*100</f>
        <v>114.56006126907772</v>
      </c>
      <c r="M48" s="35">
        <f>E48-жовтень!E48</f>
        <v>370</v>
      </c>
      <c r="N48" s="35">
        <f>F48-жовтень!F48</f>
        <v>356.9699999999998</v>
      </c>
      <c r="O48" s="47">
        <f t="shared" si="3"/>
        <v>-13.0300000000002</v>
      </c>
      <c r="P48" s="50">
        <f aca="true" t="shared" si="8" ref="P48:P53">N48/M48*100</f>
        <v>96.47837837837832</v>
      </c>
      <c r="Q48" s="50">
        <f>N48-277.38</f>
        <v>79.5899999999998</v>
      </c>
      <c r="R48" s="126">
        <f>N48/277.38</f>
        <v>1.2869348907635727</v>
      </c>
    </row>
    <row r="49" spans="1:18" s="6" customFormat="1" ht="15.75" hidden="1">
      <c r="A49" s="8"/>
      <c r="B49" s="14" t="s">
        <v>102</v>
      </c>
      <c r="C49" s="83" t="s">
        <v>103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E49-жовтень!E50</f>
        <v>0</v>
      </c>
      <c r="N49" s="35">
        <f>F49-жовтень!F50</f>
        <v>0</v>
      </c>
      <c r="O49" s="47">
        <f t="shared" si="3"/>
        <v>0</v>
      </c>
      <c r="P49" s="50" t="e">
        <f t="shared" si="8"/>
        <v>#DIV/0!</v>
      </c>
      <c r="Q49" s="50"/>
      <c r="R49" s="126">
        <f>N49/277.38</f>
        <v>0</v>
      </c>
    </row>
    <row r="50" spans="1:18" s="6" customFormat="1" ht="31.5">
      <c r="A50" s="8"/>
      <c r="B50" s="69" t="s">
        <v>127</v>
      </c>
      <c r="C50" s="83"/>
      <c r="D50" s="135"/>
      <c r="E50" s="135"/>
      <c r="F50" s="144">
        <v>1142</v>
      </c>
      <c r="G50" s="135">
        <f t="shared" si="0"/>
        <v>1142</v>
      </c>
      <c r="H50" s="137"/>
      <c r="I50" s="136">
        <f t="shared" si="1"/>
        <v>1142</v>
      </c>
      <c r="J50" s="136"/>
      <c r="K50" s="138">
        <f>F50-926.78</f>
        <v>215.22000000000003</v>
      </c>
      <c r="L50" s="138">
        <f>F50/926.78*100</f>
        <v>123.22233971384794</v>
      </c>
      <c r="M50" s="137">
        <f>E50-жовтень!E51</f>
        <v>0</v>
      </c>
      <c r="N50" s="137">
        <f>F50-жовтень!F51</f>
        <v>97.70000000000005</v>
      </c>
      <c r="O50" s="138">
        <f t="shared" si="3"/>
        <v>97.70000000000005</v>
      </c>
      <c r="P50" s="136"/>
      <c r="Q50" s="50">
        <f>N50-64.93</f>
        <v>32.77000000000004</v>
      </c>
      <c r="R50" s="126">
        <f>N50/64.93</f>
        <v>1.5046973663945793</v>
      </c>
    </row>
    <row r="51" spans="1:18" s="6" customFormat="1" ht="15.75">
      <c r="A51" s="8"/>
      <c r="B51" s="14" t="s">
        <v>100</v>
      </c>
      <c r="C51" s="225" t="s">
        <v>101</v>
      </c>
      <c r="D51" s="43">
        <v>0</v>
      </c>
      <c r="E51" s="43">
        <v>0</v>
      </c>
      <c r="F51" s="144">
        <v>0.07</v>
      </c>
      <c r="G51" s="135"/>
      <c r="H51" s="137"/>
      <c r="I51" s="136"/>
      <c r="J51" s="136"/>
      <c r="K51" s="138"/>
      <c r="L51" s="138"/>
      <c r="M51" s="137">
        <f>E51</f>
        <v>0</v>
      </c>
      <c r="N51" s="137">
        <f>F51-E51</f>
        <v>0.07</v>
      </c>
      <c r="O51" s="138"/>
      <c r="P51" s="136"/>
      <c r="Q51" s="50"/>
      <c r="R51" s="126"/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E52-жовтень!E52</f>
        <v>0</v>
      </c>
      <c r="N52" s="35">
        <f>F52-жовтень!F52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23.8</v>
      </c>
      <c r="F53" s="143">
        <v>28.08</v>
      </c>
      <c r="G53" s="43">
        <f t="shared" si="0"/>
        <v>4.279999999999998</v>
      </c>
      <c r="H53" s="35">
        <f>F53/E53*100</f>
        <v>117.9831932773109</v>
      </c>
      <c r="I53" s="50">
        <f t="shared" si="1"/>
        <v>1.5799999999999983</v>
      </c>
      <c r="J53" s="50">
        <f>F53/D53*100</f>
        <v>105.96226415094338</v>
      </c>
      <c r="K53" s="50">
        <f>F53-23.85</f>
        <v>4.229999999999997</v>
      </c>
      <c r="L53" s="50">
        <f>F53/23.85*100</f>
        <v>117.73584905660377</v>
      </c>
      <c r="M53" s="35">
        <f>E53-жовтень!E53</f>
        <v>2.1999999999999993</v>
      </c>
      <c r="N53" s="35">
        <f>F53-жовтень!F53</f>
        <v>7.159999999999997</v>
      </c>
      <c r="O53" s="47">
        <f t="shared" si="3"/>
        <v>4.959999999999997</v>
      </c>
      <c r="P53" s="50">
        <f t="shared" si="8"/>
        <v>325.4545454545454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0.54</v>
      </c>
      <c r="G54" s="43">
        <f t="shared" si="0"/>
        <v>0.54</v>
      </c>
      <c r="H54" s="35"/>
      <c r="I54" s="50">
        <f t="shared" si="1"/>
        <v>0.54</v>
      </c>
      <c r="J54" s="50"/>
      <c r="K54" s="50">
        <f>F54-0.37</f>
        <v>0.17000000000000004</v>
      </c>
      <c r="L54" s="50"/>
      <c r="M54" s="35">
        <f>E54-жовтень!E54</f>
        <v>0</v>
      </c>
      <c r="N54" s="35">
        <f>F54-жовтень!F54</f>
        <v>0.23000000000000004</v>
      </c>
      <c r="O54" s="47">
        <f t="shared" si="3"/>
        <v>0.23000000000000004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609655.07</v>
      </c>
      <c r="E55" s="18">
        <f>E8+E33+E53+E54</f>
        <v>576611.9400000001</v>
      </c>
      <c r="F55" s="18">
        <f>F8+F33+F53+F54</f>
        <v>650580.28</v>
      </c>
      <c r="G55" s="44">
        <f>F55-E55</f>
        <v>73968.33999999997</v>
      </c>
      <c r="H55" s="45">
        <f>F55/E55*100</f>
        <v>112.82809717745353</v>
      </c>
      <c r="I55" s="31">
        <f>F55-D55</f>
        <v>40925.21000000008</v>
      </c>
      <c r="J55" s="31">
        <f>F55/D55*100</f>
        <v>106.71284665934134</v>
      </c>
      <c r="K55" s="31">
        <f>K8+K33+K53+K54</f>
        <v>192632.37600000008</v>
      </c>
      <c r="L55" s="31">
        <f>F55/(F55-K55)*100</f>
        <v>142.06425541364635</v>
      </c>
      <c r="M55" s="18">
        <f>M8+M33+M53+M54</f>
        <v>40514.600000000006</v>
      </c>
      <c r="N55" s="18">
        <f>N8+N33+N53+N54</f>
        <v>72891.07000000002</v>
      </c>
      <c r="O55" s="49">
        <f>N55-M55</f>
        <v>32376.470000000016</v>
      </c>
      <c r="P55" s="31">
        <f>N55/M55*100</f>
        <v>179.9130930578113</v>
      </c>
      <c r="Q55" s="31">
        <f>N55-34768</f>
        <v>38123.07000000002</v>
      </c>
      <c r="R55" s="171">
        <f>N55/34768</f>
        <v>2.0964987919926377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F60-жовтень!F60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-55.72</v>
      </c>
      <c r="G61" s="43">
        <f aca="true" t="shared" si="9" ref="G61:G68">F61-E61</f>
        <v>-55.72</v>
      </c>
      <c r="H61" s="35"/>
      <c r="I61" s="53">
        <f aca="true" t="shared" si="10" ref="I61:I68">F61-D61</f>
        <v>-55.72</v>
      </c>
      <c r="J61" s="53"/>
      <c r="K61" s="47">
        <f>F61-284.81</f>
        <v>-340.53</v>
      </c>
      <c r="L61" s="53"/>
      <c r="M61" s="35">
        <v>0</v>
      </c>
      <c r="N61" s="36">
        <f>F61-жовтень!F61</f>
        <v>-0.9699999999999989</v>
      </c>
      <c r="O61" s="47">
        <f aca="true" t="shared" si="11" ref="O61:O68">N61-M61</f>
        <v>-0.9699999999999989</v>
      </c>
      <c r="P61" s="53"/>
      <c r="Q61" s="53">
        <f>N61-24.53</f>
        <v>-25.5</v>
      </c>
      <c r="R61" s="129">
        <f>N61/24.53</f>
        <v>-0.03954341622503053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-55.72</v>
      </c>
      <c r="G62" s="55">
        <f t="shared" si="9"/>
        <v>-55.72</v>
      </c>
      <c r="H62" s="65"/>
      <c r="I62" s="54">
        <f t="shared" si="10"/>
        <v>-55.72</v>
      </c>
      <c r="J62" s="54"/>
      <c r="K62" s="54">
        <f>K60+K61</f>
        <v>-340.53</v>
      </c>
      <c r="L62" s="54"/>
      <c r="M62" s="55">
        <f>M61</f>
        <v>0</v>
      </c>
      <c r="N62" s="33">
        <f>SUM(N60:N61)</f>
        <v>-0.9699999999999989</v>
      </c>
      <c r="O62" s="54">
        <f t="shared" si="11"/>
        <v>-0.9699999999999989</v>
      </c>
      <c r="P62" s="54"/>
      <c r="Q62" s="54">
        <f>N62-92.85</f>
        <v>-93.82</v>
      </c>
      <c r="R62" s="130">
        <f>N62/92.85</f>
        <v>-0.010446957458266008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9"/>
        <v>0</v>
      </c>
      <c r="H63" s="35" t="e">
        <f>F63/E63*100</f>
        <v>#DIV/0!</v>
      </c>
      <c r="I63" s="53">
        <f t="shared" si="10"/>
        <v>0</v>
      </c>
      <c r="J63" s="53" t="e">
        <f aca="true" t="shared" si="12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1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2500</v>
      </c>
      <c r="F64" s="146">
        <v>619</v>
      </c>
      <c r="G64" s="43">
        <f t="shared" si="9"/>
        <v>-1881</v>
      </c>
      <c r="H64" s="35"/>
      <c r="I64" s="53">
        <f t="shared" si="10"/>
        <v>-1881</v>
      </c>
      <c r="J64" s="53">
        <f t="shared" si="12"/>
        <v>24.759999999999998</v>
      </c>
      <c r="K64" s="53">
        <f>F64-1921.61</f>
        <v>-1302.61</v>
      </c>
      <c r="L64" s="53">
        <f>F64/1921.61*100</f>
        <v>32.21257174973069</v>
      </c>
      <c r="M64" s="35">
        <f>E64-жовтень!E64</f>
        <v>900</v>
      </c>
      <c r="N64" s="35">
        <f>F64-жовтень!F64</f>
        <v>25.870000000000005</v>
      </c>
      <c r="O64" s="47">
        <f t="shared" si="11"/>
        <v>-874.13</v>
      </c>
      <c r="P64" s="53"/>
      <c r="Q64" s="53">
        <f>N64-0.04</f>
        <v>25.830000000000005</v>
      </c>
      <c r="R64" s="129">
        <f>N64/0.04</f>
        <v>646.7500000000001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7760.73</v>
      </c>
      <c r="F65" s="146">
        <v>8212.99</v>
      </c>
      <c r="G65" s="43">
        <f t="shared" si="9"/>
        <v>452.2600000000002</v>
      </c>
      <c r="H65" s="35">
        <f>F65/E65*100</f>
        <v>105.82754457377077</v>
      </c>
      <c r="I65" s="53">
        <f t="shared" si="10"/>
        <v>-3363.01</v>
      </c>
      <c r="J65" s="53">
        <f t="shared" si="12"/>
        <v>70.94842778161714</v>
      </c>
      <c r="K65" s="53">
        <f>F65-3828.89</f>
        <v>4384.1</v>
      </c>
      <c r="L65" s="53">
        <f>F65/3828.89*100</f>
        <v>214.50054715596428</v>
      </c>
      <c r="M65" s="35">
        <f>E65-жовтень!E65</f>
        <v>1024.75</v>
      </c>
      <c r="N65" s="35">
        <f>F65-жовтень!F65</f>
        <v>1000.9099999999999</v>
      </c>
      <c r="O65" s="47">
        <f t="shared" si="11"/>
        <v>-23.840000000000146</v>
      </c>
      <c r="P65" s="53">
        <f>N65/M65*100</f>
        <v>97.6735789216882</v>
      </c>
      <c r="Q65" s="53">
        <f>N65-450.01</f>
        <v>550.8999999999999</v>
      </c>
      <c r="R65" s="129">
        <f>N65/450.01</f>
        <v>2.224195017888491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1481</v>
      </c>
      <c r="F66" s="146">
        <v>2292.73</v>
      </c>
      <c r="G66" s="43">
        <f t="shared" si="9"/>
        <v>811.73</v>
      </c>
      <c r="H66" s="35">
        <f>F66/E66*100</f>
        <v>154.80958811613775</v>
      </c>
      <c r="I66" s="53">
        <f t="shared" si="10"/>
        <v>-707.27</v>
      </c>
      <c r="J66" s="53">
        <f t="shared" si="12"/>
        <v>76.42433333333334</v>
      </c>
      <c r="K66" s="53">
        <f>F66-2012.55</f>
        <v>280.18000000000006</v>
      </c>
      <c r="L66" s="53">
        <f>F66/2012.55*100</f>
        <v>113.92164169834291</v>
      </c>
      <c r="M66" s="35">
        <f>E66-жовтень!E66</f>
        <v>148.0999999999999</v>
      </c>
      <c r="N66" s="35">
        <f>F66-жовтень!F66</f>
        <v>229.30000000000018</v>
      </c>
      <c r="O66" s="47">
        <f t="shared" si="11"/>
        <v>81.20000000000027</v>
      </c>
      <c r="P66" s="53">
        <f>N66/M66*100</f>
        <v>154.8278190411886</v>
      </c>
      <c r="Q66" s="53">
        <f>N66-1.05</f>
        <v>228.25000000000017</v>
      </c>
      <c r="R66" s="129">
        <f>N66/1.05</f>
        <v>218.38095238095255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11741.73</v>
      </c>
      <c r="F67" s="145">
        <f>F64+F65+F66</f>
        <v>11124.72</v>
      </c>
      <c r="G67" s="55">
        <f t="shared" si="9"/>
        <v>-617.0100000000002</v>
      </c>
      <c r="H67" s="65">
        <f>F67/E67*100</f>
        <v>94.74515254566406</v>
      </c>
      <c r="I67" s="54">
        <f t="shared" si="10"/>
        <v>-5951.280000000001</v>
      </c>
      <c r="J67" s="54">
        <f t="shared" si="12"/>
        <v>65.14827828531271</v>
      </c>
      <c r="K67" s="54">
        <f>K64+K65+K66</f>
        <v>3361.670000000001</v>
      </c>
      <c r="L67" s="54"/>
      <c r="M67" s="55">
        <f>M64+M65+M66</f>
        <v>2072.85</v>
      </c>
      <c r="N67" s="55">
        <f>N64+N65+N66</f>
        <v>1256.08</v>
      </c>
      <c r="O67" s="54">
        <f t="shared" si="11"/>
        <v>-816.77</v>
      </c>
      <c r="P67" s="54">
        <f>N67/M67*100</f>
        <v>60.596762910967996</v>
      </c>
      <c r="Q67" s="54">
        <f>N67-7985.28</f>
        <v>-6729.2</v>
      </c>
      <c r="R67" s="173">
        <f>N67/7985.28</f>
        <v>0.15729943095295343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9"/>
        <v>-34.65</v>
      </c>
      <c r="H68" s="35">
        <f>F68/E68*100</f>
        <v>1</v>
      </c>
      <c r="I68" s="53">
        <f t="shared" si="10"/>
        <v>-34.65</v>
      </c>
      <c r="J68" s="53">
        <f t="shared" si="12"/>
        <v>1</v>
      </c>
      <c r="K68" s="53">
        <f>F68-35.01</f>
        <v>-34.66</v>
      </c>
      <c r="L68" s="53">
        <f>F68/35.01*100</f>
        <v>0.9997143673236218</v>
      </c>
      <c r="M68" s="35">
        <f>E68-жовтень!E68</f>
        <v>0</v>
      </c>
      <c r="N68" s="35">
        <f>F68-жовтень!F68</f>
        <v>0</v>
      </c>
      <c r="O68" s="47">
        <f t="shared" si="11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E69-жовтень!E69</f>
        <v>0</v>
      </c>
      <c r="N69" s="35">
        <f>F69-жовтень!F69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1.31</v>
      </c>
      <c r="G70" s="43">
        <f>F70-E70</f>
        <v>1.31</v>
      </c>
      <c r="H70" s="35"/>
      <c r="I70" s="53">
        <f>F70-D70</f>
        <v>1.31</v>
      </c>
      <c r="J70" s="53"/>
      <c r="K70" s="53">
        <f>F70-1.47</f>
        <v>-0.15999999999999992</v>
      </c>
      <c r="L70" s="53">
        <f>F70/1.47*100</f>
        <v>89.11564625850342</v>
      </c>
      <c r="M70" s="35">
        <f>E70-жовтень!E70</f>
        <v>0</v>
      </c>
      <c r="N70" s="35">
        <f>F70-жовтень!F70</f>
        <v>0.17000000000000015</v>
      </c>
      <c r="O70" s="47">
        <f>N70-M70</f>
        <v>0.17000000000000015</v>
      </c>
      <c r="P70" s="53"/>
      <c r="Q70" s="53">
        <f>N70-(-0.21)</f>
        <v>0.3800000000000001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1.6600000000000001</v>
      </c>
      <c r="G71" s="55">
        <f>F71-E71</f>
        <v>-47.34</v>
      </c>
      <c r="H71" s="65">
        <f>F71/E71*100</f>
        <v>3.3877551020408165</v>
      </c>
      <c r="I71" s="54">
        <f>F71-D71</f>
        <v>-52.34</v>
      </c>
      <c r="J71" s="54">
        <f>F71/D71*100</f>
        <v>3.0740740740740744</v>
      </c>
      <c r="K71" s="54">
        <f>K68+K69+K70</f>
        <v>-54.3</v>
      </c>
      <c r="L71" s="54"/>
      <c r="M71" s="55">
        <f>M68+M70+M69</f>
        <v>0</v>
      </c>
      <c r="N71" s="55">
        <f>N68+N70+N69</f>
        <v>0.17000000000000015</v>
      </c>
      <c r="O71" s="54">
        <f>N71-M71</f>
        <v>0.17000000000000015</v>
      </c>
      <c r="P71" s="54"/>
      <c r="Q71" s="54">
        <f>N71-26.38</f>
        <v>-26.209999999999997</v>
      </c>
      <c r="R71" s="128">
        <f>N71/26.38</f>
        <v>0.006444275966641401</v>
      </c>
    </row>
    <row r="72" spans="2:18" ht="31.5">
      <c r="B72" s="14" t="s">
        <v>125</v>
      </c>
      <c r="C72" s="59">
        <v>24110900</v>
      </c>
      <c r="D72" s="28">
        <v>42</v>
      </c>
      <c r="E72" s="28">
        <v>34.42</v>
      </c>
      <c r="F72" s="146">
        <v>30.61</v>
      </c>
      <c r="G72" s="43">
        <f>F72-E72</f>
        <v>-3.8100000000000023</v>
      </c>
      <c r="H72" s="35">
        <f>F72/E72*100</f>
        <v>88.9308541545613</v>
      </c>
      <c r="I72" s="53">
        <f>F72-D72</f>
        <v>-11.39</v>
      </c>
      <c r="J72" s="53">
        <f>F72/D72*100</f>
        <v>72.88095238095238</v>
      </c>
      <c r="K72" s="53">
        <f>F72-34.05</f>
        <v>-3.4399999999999977</v>
      </c>
      <c r="L72" s="53">
        <f>F72/34.05*100</f>
        <v>89.89720998531571</v>
      </c>
      <c r="M72" s="35">
        <f>E72-жовтень!E72</f>
        <v>1</v>
      </c>
      <c r="N72" s="35">
        <f>F72-жовтень!F72</f>
        <v>0.5899999999999999</v>
      </c>
      <c r="O72" s="47">
        <f>N72-M72</f>
        <v>-0.41000000000000014</v>
      </c>
      <c r="P72" s="53">
        <f>N72/M72*100</f>
        <v>58.999999999999986</v>
      </c>
      <c r="Q72" s="53">
        <f>N72-0.45</f>
        <v>0.13999999999999985</v>
      </c>
      <c r="R72" s="129">
        <f>N72/0.45</f>
        <v>1.3111111111111107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>
        <f>F73-0</f>
        <v>0.2</v>
      </c>
      <c r="L73" s="53"/>
      <c r="M73" s="35"/>
      <c r="N73" s="35">
        <f>F73-жовтень!F73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11825.15</v>
      </c>
      <c r="F74" s="27">
        <f>F62+F72+F67+F71+F73</f>
        <v>11101.47</v>
      </c>
      <c r="G74" s="44">
        <f>F74-E74</f>
        <v>-723.6800000000003</v>
      </c>
      <c r="H74" s="45">
        <f>F74/E74*100</f>
        <v>93.88016219667404</v>
      </c>
      <c r="I74" s="31">
        <f>F74-D74</f>
        <v>-6070.530000000001</v>
      </c>
      <c r="J74" s="31">
        <f>F74/D74*100</f>
        <v>64.64867225716281</v>
      </c>
      <c r="K74" s="31">
        <f>K62+K67+K71+K72</f>
        <v>2963.400000000001</v>
      </c>
      <c r="L74" s="31"/>
      <c r="M74" s="27">
        <f>M62+M72+M67+M71</f>
        <v>2073.85</v>
      </c>
      <c r="N74" s="27">
        <f>N62+N72+N67+N71+N73</f>
        <v>1255.87</v>
      </c>
      <c r="O74" s="31">
        <f>N74-M74</f>
        <v>-817.98</v>
      </c>
      <c r="P74" s="31">
        <f>N74/M74*100</f>
        <v>60.557417363840194</v>
      </c>
      <c r="Q74" s="31">
        <f>N74-8104.96</f>
        <v>-6849.09</v>
      </c>
      <c r="R74" s="127">
        <f>N74/8104.96</f>
        <v>0.1549507955622236</v>
      </c>
    </row>
    <row r="75" spans="2:18" ht="18.75">
      <c r="B75" s="24" t="s">
        <v>115</v>
      </c>
      <c r="C75" s="88"/>
      <c r="D75" s="27">
        <f>D55+D74</f>
        <v>626827.07</v>
      </c>
      <c r="E75" s="27">
        <f>E55+E74</f>
        <v>588437.0900000001</v>
      </c>
      <c r="F75" s="27">
        <f>F55+F74</f>
        <v>661681.75</v>
      </c>
      <c r="G75" s="44">
        <f>F75-E75</f>
        <v>73244.65999999992</v>
      </c>
      <c r="H75" s="45">
        <f>F75/E75*100</f>
        <v>112.44732210880859</v>
      </c>
      <c r="I75" s="31">
        <f>F75-D75</f>
        <v>34854.68000000005</v>
      </c>
      <c r="J75" s="31">
        <f>F75/D75*100</f>
        <v>105.56049374191834</v>
      </c>
      <c r="K75" s="31">
        <f>K55+K74</f>
        <v>195595.77600000007</v>
      </c>
      <c r="L75" s="31">
        <f>F75/(F75-K75)*100</f>
        <v>141.96560010621562</v>
      </c>
      <c r="M75" s="18">
        <f>M55+M74</f>
        <v>42588.450000000004</v>
      </c>
      <c r="N75" s="18">
        <f>N55+N74</f>
        <v>74146.94000000002</v>
      </c>
      <c r="O75" s="31">
        <f>N75-M75</f>
        <v>31558.490000000013</v>
      </c>
      <c r="P75" s="31">
        <f>N75/M75*100</f>
        <v>174.1010532198284</v>
      </c>
      <c r="Q75" s="31">
        <f>N75-42872.96</f>
        <v>31273.980000000018</v>
      </c>
      <c r="R75" s="127">
        <f>N75/42872.96</f>
        <v>1.7294569817432717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42338</v>
      </c>
      <c r="D79" s="34">
        <v>5905.8</v>
      </c>
      <c r="G79" s="4" t="s">
        <v>166</v>
      </c>
      <c r="N79" s="253"/>
      <c r="O79" s="253"/>
    </row>
    <row r="80" spans="3:15" ht="15.75">
      <c r="C80" s="111">
        <v>42335</v>
      </c>
      <c r="D80" s="34">
        <v>6852.3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42334</v>
      </c>
      <c r="D81" s="34">
        <v>5522.2</v>
      </c>
      <c r="F81" s="90"/>
      <c r="G81" s="254"/>
      <c r="H81" s="254"/>
      <c r="I81" s="177"/>
      <c r="J81" s="259"/>
      <c r="K81" s="259"/>
      <c r="L81" s="259"/>
      <c r="M81" s="259"/>
      <c r="N81" s="253"/>
      <c r="O81" s="253"/>
    </row>
    <row r="82" spans="3:13" ht="15.75" customHeight="1">
      <c r="C82" s="111"/>
      <c r="F82" s="90"/>
      <c r="G82" s="260"/>
      <c r="H82" s="260"/>
      <c r="I82" s="221"/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0.24284</v>
      </c>
      <c r="E83" s="220"/>
      <c r="F83" s="222"/>
      <c r="G83" s="254"/>
      <c r="H83" s="254"/>
      <c r="I83" s="223"/>
      <c r="J83" s="255"/>
      <c r="K83" s="255"/>
      <c r="L83" s="255"/>
      <c r="M83" s="255"/>
    </row>
    <row r="84" spans="6:12" ht="9.75" customHeight="1">
      <c r="F84" s="90"/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F85" s="90"/>
      <c r="G85" s="254"/>
      <c r="H85" s="254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24" bottom="0.39" header="0.18" footer="0.29"/>
  <pageSetup fitToHeight="1" fitToWidth="1"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227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66" t="s">
        <v>205</v>
      </c>
      <c r="C3" s="234" t="s">
        <v>0</v>
      </c>
      <c r="D3" s="235" t="s">
        <v>216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221</v>
      </c>
      <c r="N3" s="226" t="s">
        <v>202</v>
      </c>
      <c r="O3" s="226"/>
      <c r="P3" s="226"/>
      <c r="Q3" s="226"/>
      <c r="R3" s="226"/>
    </row>
    <row r="4" spans="1:18" ht="22.5" customHeight="1">
      <c r="A4" s="231"/>
      <c r="B4" s="266"/>
      <c r="C4" s="234"/>
      <c r="D4" s="235"/>
      <c r="E4" s="227" t="s">
        <v>199</v>
      </c>
      <c r="F4" s="244" t="s">
        <v>116</v>
      </c>
      <c r="G4" s="246" t="s">
        <v>200</v>
      </c>
      <c r="H4" s="248" t="s">
        <v>201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226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66"/>
      <c r="C5" s="234"/>
      <c r="D5" s="235"/>
      <c r="E5" s="228"/>
      <c r="F5" s="245"/>
      <c r="G5" s="247"/>
      <c r="H5" s="249"/>
      <c r="I5" s="251"/>
      <c r="J5" s="241"/>
      <c r="K5" s="242" t="s">
        <v>224</v>
      </c>
      <c r="L5" s="243"/>
      <c r="M5" s="241"/>
      <c r="N5" s="257"/>
      <c r="O5" s="251"/>
      <c r="P5" s="258"/>
      <c r="Q5" s="242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2"/>
      <c r="H104" s="252"/>
      <c r="I104" s="252"/>
      <c r="J104" s="252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3"/>
      <c r="O105" s="253"/>
    </row>
    <row r="106" spans="3:15" ht="15.75">
      <c r="C106" s="111">
        <v>42061</v>
      </c>
      <c r="D106" s="34">
        <v>6003.3</v>
      </c>
      <c r="F106" s="155" t="s">
        <v>166</v>
      </c>
      <c r="G106" s="254"/>
      <c r="H106" s="254"/>
      <c r="I106" s="177"/>
      <c r="J106" s="255"/>
      <c r="K106" s="255"/>
      <c r="L106" s="255"/>
      <c r="M106" s="255"/>
      <c r="N106" s="253"/>
      <c r="O106" s="253"/>
    </row>
    <row r="107" spans="3:15" ht="15.75" customHeight="1">
      <c r="C107" s="111">
        <v>42060</v>
      </c>
      <c r="D107" s="34">
        <v>1551.3</v>
      </c>
      <c r="G107" s="267" t="s">
        <v>151</v>
      </c>
      <c r="H107" s="267"/>
      <c r="I107" s="106">
        <v>8909.73221</v>
      </c>
      <c r="J107" s="259"/>
      <c r="K107" s="259"/>
      <c r="L107" s="259"/>
      <c r="M107" s="259"/>
      <c r="N107" s="253"/>
      <c r="O107" s="253"/>
    </row>
    <row r="108" spans="7:13" ht="15.75" customHeight="1">
      <c r="G108" s="275" t="s">
        <v>155</v>
      </c>
      <c r="H108" s="275"/>
      <c r="I108" s="103">
        <v>0</v>
      </c>
      <c r="J108" s="255"/>
      <c r="K108" s="255"/>
      <c r="L108" s="255"/>
      <c r="M108" s="255"/>
    </row>
    <row r="109" spans="2:13" ht="18.75" customHeight="1">
      <c r="B109" s="261" t="s">
        <v>160</v>
      </c>
      <c r="C109" s="262"/>
      <c r="D109" s="108">
        <f>138305956.27/1000</f>
        <v>138305.95627000002</v>
      </c>
      <c r="E109" s="73"/>
      <c r="F109" s="156" t="s">
        <v>147</v>
      </c>
      <c r="G109" s="267" t="s">
        <v>149</v>
      </c>
      <c r="H109" s="267"/>
      <c r="I109" s="107">
        <v>129396.23</v>
      </c>
      <c r="J109" s="255"/>
      <c r="K109" s="255"/>
      <c r="L109" s="255"/>
      <c r="M109" s="255"/>
    </row>
    <row r="110" spans="7:12" ht="9.75" customHeight="1">
      <c r="G110" s="254"/>
      <c r="H110" s="254"/>
      <c r="I110" s="90"/>
      <c r="J110" s="91"/>
      <c r="K110" s="91"/>
      <c r="L110" s="91"/>
    </row>
    <row r="111" spans="2:12" ht="22.5" customHeight="1" hidden="1">
      <c r="B111" s="263" t="s">
        <v>167</v>
      </c>
      <c r="C111" s="264"/>
      <c r="D111" s="110">
        <v>0</v>
      </c>
      <c r="E111" s="70" t="s">
        <v>104</v>
      </c>
      <c r="G111" s="254"/>
      <c r="H111" s="254"/>
      <c r="I111" s="90"/>
      <c r="J111" s="91"/>
      <c r="K111" s="91"/>
      <c r="L111" s="91"/>
    </row>
    <row r="112" spans="4:15" ht="15.75">
      <c r="D112" s="105"/>
      <c r="N112" s="254"/>
      <c r="O112" s="254"/>
    </row>
    <row r="113" spans="4:15" ht="15.75">
      <c r="D113" s="104"/>
      <c r="I113" s="34"/>
      <c r="N113" s="265"/>
      <c r="O113" s="265"/>
    </row>
    <row r="114" spans="14:15" ht="15.75">
      <c r="N114" s="254"/>
      <c r="O114" s="254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193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66" t="s">
        <v>205</v>
      </c>
      <c r="C3" s="234" t="s">
        <v>0</v>
      </c>
      <c r="D3" s="235" t="s">
        <v>216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220</v>
      </c>
      <c r="N3" s="226" t="s">
        <v>175</v>
      </c>
      <c r="O3" s="226"/>
      <c r="P3" s="226"/>
      <c r="Q3" s="226"/>
      <c r="R3" s="226"/>
    </row>
    <row r="4" spans="1:18" ht="22.5" customHeight="1">
      <c r="A4" s="231"/>
      <c r="B4" s="266"/>
      <c r="C4" s="234"/>
      <c r="D4" s="235"/>
      <c r="E4" s="227" t="s">
        <v>219</v>
      </c>
      <c r="F4" s="244" t="s">
        <v>116</v>
      </c>
      <c r="G4" s="246" t="s">
        <v>173</v>
      </c>
      <c r="H4" s="282" t="s">
        <v>174</v>
      </c>
      <c r="I4" s="280" t="s">
        <v>217</v>
      </c>
      <c r="J4" s="278" t="s">
        <v>218</v>
      </c>
      <c r="K4" s="116" t="s">
        <v>172</v>
      </c>
      <c r="L4" s="121" t="s">
        <v>171</v>
      </c>
      <c r="M4" s="240"/>
      <c r="N4" s="256" t="s">
        <v>194</v>
      </c>
      <c r="O4" s="280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2"/>
      <c r="B5" s="266"/>
      <c r="C5" s="234"/>
      <c r="D5" s="235"/>
      <c r="E5" s="228"/>
      <c r="F5" s="245"/>
      <c r="G5" s="247"/>
      <c r="H5" s="283"/>
      <c r="I5" s="281"/>
      <c r="J5" s="279"/>
      <c r="K5" s="242" t="s">
        <v>188</v>
      </c>
      <c r="L5" s="243"/>
      <c r="M5" s="241"/>
      <c r="N5" s="257"/>
      <c r="O5" s="281"/>
      <c r="P5" s="226"/>
      <c r="Q5" s="242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2"/>
      <c r="H102" s="252"/>
      <c r="I102" s="252"/>
      <c r="J102" s="252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3"/>
      <c r="O103" s="253"/>
    </row>
    <row r="104" spans="3:15" ht="15.75">
      <c r="C104" s="111">
        <v>42033</v>
      </c>
      <c r="D104" s="34">
        <v>2896.5</v>
      </c>
      <c r="F104" s="155" t="s">
        <v>166</v>
      </c>
      <c r="G104" s="267" t="s">
        <v>151</v>
      </c>
      <c r="H104" s="267"/>
      <c r="I104" s="106">
        <f>'січень '!I139</f>
        <v>8909.733</v>
      </c>
      <c r="J104" s="276" t="s">
        <v>161</v>
      </c>
      <c r="K104" s="276"/>
      <c r="L104" s="276"/>
      <c r="M104" s="276"/>
      <c r="N104" s="253"/>
      <c r="O104" s="253"/>
    </row>
    <row r="105" spans="3:15" ht="15.75">
      <c r="C105" s="111">
        <v>42032</v>
      </c>
      <c r="D105" s="34">
        <v>2838.1</v>
      </c>
      <c r="G105" s="275" t="s">
        <v>155</v>
      </c>
      <c r="H105" s="275"/>
      <c r="I105" s="103">
        <f>'січень '!I140</f>
        <v>0</v>
      </c>
      <c r="J105" s="277" t="s">
        <v>162</v>
      </c>
      <c r="K105" s="277"/>
      <c r="L105" s="277"/>
      <c r="M105" s="277"/>
      <c r="N105" s="253"/>
      <c r="O105" s="253"/>
    </row>
    <row r="106" spans="7:13" ht="15.75" customHeight="1">
      <c r="G106" s="267" t="s">
        <v>148</v>
      </c>
      <c r="H106" s="267"/>
      <c r="I106" s="103">
        <f>'січень '!I141</f>
        <v>0</v>
      </c>
      <c r="J106" s="276" t="s">
        <v>163</v>
      </c>
      <c r="K106" s="276"/>
      <c r="L106" s="276"/>
      <c r="M106" s="276"/>
    </row>
    <row r="107" spans="2:13" ht="18.75" customHeight="1">
      <c r="B107" s="261" t="s">
        <v>160</v>
      </c>
      <c r="C107" s="262"/>
      <c r="D107" s="108">
        <f>'січень '!D142</f>
        <v>132375.63</v>
      </c>
      <c r="E107" s="73"/>
      <c r="F107" s="156" t="s">
        <v>147</v>
      </c>
      <c r="G107" s="267" t="s">
        <v>149</v>
      </c>
      <c r="H107" s="267"/>
      <c r="I107" s="107">
        <f>'січень '!I142</f>
        <v>123465.893</v>
      </c>
      <c r="J107" s="276" t="s">
        <v>164</v>
      </c>
      <c r="K107" s="276"/>
      <c r="L107" s="276"/>
      <c r="M107" s="276"/>
    </row>
    <row r="108" spans="7:12" ht="9.75" customHeight="1">
      <c r="G108" s="254"/>
      <c r="H108" s="254"/>
      <c r="I108" s="90"/>
      <c r="J108" s="91"/>
      <c r="K108" s="91"/>
      <c r="L108" s="91"/>
    </row>
    <row r="109" spans="2:12" ht="22.5" customHeight="1" hidden="1">
      <c r="B109" s="263" t="s">
        <v>167</v>
      </c>
      <c r="C109" s="264"/>
      <c r="D109" s="110">
        <v>0</v>
      </c>
      <c r="E109" s="70" t="s">
        <v>104</v>
      </c>
      <c r="G109" s="254"/>
      <c r="H109" s="254"/>
      <c r="I109" s="90"/>
      <c r="J109" s="91"/>
      <c r="K109" s="91"/>
      <c r="L109" s="91"/>
    </row>
    <row r="110" spans="4:15" ht="15.75">
      <c r="D110" s="105"/>
      <c r="N110" s="254"/>
      <c r="O110" s="254"/>
    </row>
    <row r="111" spans="4:15" ht="15.75">
      <c r="D111" s="104"/>
      <c r="I111" s="34"/>
      <c r="N111" s="265"/>
      <c r="O111" s="265"/>
    </row>
    <row r="112" spans="14:15" ht="15.75">
      <c r="N112" s="254"/>
      <c r="O112" s="254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9" t="s">
        <v>193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66" t="s">
        <v>203</v>
      </c>
      <c r="C3" s="234" t="s">
        <v>0</v>
      </c>
      <c r="D3" s="235" t="s">
        <v>190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187</v>
      </c>
      <c r="N3" s="226" t="s">
        <v>175</v>
      </c>
      <c r="O3" s="226"/>
      <c r="P3" s="226"/>
      <c r="Q3" s="226"/>
      <c r="R3" s="226"/>
    </row>
    <row r="4" spans="1:18" ht="22.5" customHeight="1">
      <c r="A4" s="231"/>
      <c r="B4" s="266"/>
      <c r="C4" s="234"/>
      <c r="D4" s="235"/>
      <c r="E4" s="227" t="s">
        <v>153</v>
      </c>
      <c r="F4" s="244" t="s">
        <v>116</v>
      </c>
      <c r="G4" s="246" t="s">
        <v>173</v>
      </c>
      <c r="H4" s="282" t="s">
        <v>174</v>
      </c>
      <c r="I4" s="280" t="s">
        <v>186</v>
      </c>
      <c r="J4" s="278" t="s">
        <v>189</v>
      </c>
      <c r="K4" s="116" t="s">
        <v>172</v>
      </c>
      <c r="L4" s="121" t="s">
        <v>171</v>
      </c>
      <c r="M4" s="240"/>
      <c r="N4" s="256" t="s">
        <v>194</v>
      </c>
      <c r="O4" s="280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2"/>
      <c r="B5" s="266"/>
      <c r="C5" s="234"/>
      <c r="D5" s="235"/>
      <c r="E5" s="228"/>
      <c r="F5" s="245"/>
      <c r="G5" s="247"/>
      <c r="H5" s="283"/>
      <c r="I5" s="281"/>
      <c r="J5" s="279"/>
      <c r="K5" s="242" t="s">
        <v>188</v>
      </c>
      <c r="L5" s="243"/>
      <c r="M5" s="241"/>
      <c r="N5" s="257"/>
      <c r="O5" s="281"/>
      <c r="P5" s="226"/>
      <c r="Q5" s="242" t="s">
        <v>176</v>
      </c>
      <c r="R5" s="243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2"/>
      <c r="H137" s="252"/>
      <c r="I137" s="252"/>
      <c r="J137" s="252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3"/>
      <c r="O138" s="253"/>
    </row>
    <row r="139" spans="3:15" ht="15.75">
      <c r="C139" s="111">
        <v>42033</v>
      </c>
      <c r="D139" s="34">
        <v>2896.5</v>
      </c>
      <c r="F139" s="155" t="s">
        <v>166</v>
      </c>
      <c r="G139" s="267" t="s">
        <v>151</v>
      </c>
      <c r="H139" s="267"/>
      <c r="I139" s="106">
        <f>8909.733</f>
        <v>8909.733</v>
      </c>
      <c r="J139" s="276" t="s">
        <v>161</v>
      </c>
      <c r="K139" s="276"/>
      <c r="L139" s="276"/>
      <c r="M139" s="276"/>
      <c r="N139" s="253"/>
      <c r="O139" s="253"/>
    </row>
    <row r="140" spans="3:15" ht="15.75">
      <c r="C140" s="111">
        <v>42032</v>
      </c>
      <c r="D140" s="34">
        <v>2838.1</v>
      </c>
      <c r="G140" s="275" t="s">
        <v>155</v>
      </c>
      <c r="H140" s="275"/>
      <c r="I140" s="103">
        <v>0</v>
      </c>
      <c r="J140" s="277" t="s">
        <v>162</v>
      </c>
      <c r="K140" s="277"/>
      <c r="L140" s="277"/>
      <c r="M140" s="277"/>
      <c r="N140" s="253"/>
      <c r="O140" s="253"/>
    </row>
    <row r="141" spans="7:13" ht="15.75" customHeight="1">
      <c r="G141" s="267" t="s">
        <v>148</v>
      </c>
      <c r="H141" s="267"/>
      <c r="I141" s="103">
        <v>0</v>
      </c>
      <c r="J141" s="276" t="s">
        <v>163</v>
      </c>
      <c r="K141" s="276"/>
      <c r="L141" s="276"/>
      <c r="M141" s="276"/>
    </row>
    <row r="142" spans="2:13" ht="18.75" customHeight="1">
      <c r="B142" s="261" t="s">
        <v>160</v>
      </c>
      <c r="C142" s="262"/>
      <c r="D142" s="108">
        <f>132375.63</f>
        <v>132375.63</v>
      </c>
      <c r="E142" s="73"/>
      <c r="F142" s="156" t="s">
        <v>147</v>
      </c>
      <c r="G142" s="267" t="s">
        <v>149</v>
      </c>
      <c r="H142" s="267"/>
      <c r="I142" s="107">
        <f>123465.893</f>
        <v>123465.893</v>
      </c>
      <c r="J142" s="276" t="s">
        <v>164</v>
      </c>
      <c r="K142" s="276"/>
      <c r="L142" s="276"/>
      <c r="M142" s="276"/>
    </row>
    <row r="143" spans="7:12" ht="9.75" customHeight="1">
      <c r="G143" s="254"/>
      <c r="H143" s="254"/>
      <c r="I143" s="90"/>
      <c r="J143" s="91"/>
      <c r="K143" s="91"/>
      <c r="L143" s="91"/>
    </row>
    <row r="144" spans="2:12" ht="22.5" customHeight="1" hidden="1">
      <c r="B144" s="263" t="s">
        <v>167</v>
      </c>
      <c r="C144" s="264"/>
      <c r="D144" s="110">
        <v>0</v>
      </c>
      <c r="E144" s="70" t="s">
        <v>104</v>
      </c>
      <c r="G144" s="254"/>
      <c r="H144" s="254"/>
      <c r="I144" s="90"/>
      <c r="J144" s="91"/>
      <c r="K144" s="91"/>
      <c r="L144" s="91"/>
    </row>
    <row r="145" spans="4:15" ht="15.75">
      <c r="D145" s="105"/>
      <c r="N145" s="254"/>
      <c r="O145" s="254"/>
    </row>
    <row r="146" spans="4:15" ht="15.75">
      <c r="D146" s="104"/>
      <c r="I146" s="34"/>
      <c r="N146" s="265"/>
      <c r="O146" s="265"/>
    </row>
    <row r="147" spans="14:15" ht="15.75">
      <c r="N147" s="254"/>
      <c r="O147" s="2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22" sqref="C22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313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66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311</v>
      </c>
      <c r="N3" s="226" t="s">
        <v>312</v>
      </c>
      <c r="O3" s="226"/>
      <c r="P3" s="226"/>
      <c r="Q3" s="226"/>
      <c r="R3" s="226"/>
    </row>
    <row r="4" spans="1:18" ht="22.5" customHeight="1">
      <c r="A4" s="231"/>
      <c r="B4" s="266"/>
      <c r="C4" s="234"/>
      <c r="D4" s="235"/>
      <c r="E4" s="227" t="s">
        <v>307</v>
      </c>
      <c r="F4" s="244" t="s">
        <v>116</v>
      </c>
      <c r="G4" s="246" t="s">
        <v>308</v>
      </c>
      <c r="H4" s="248" t="s">
        <v>309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314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66"/>
      <c r="C5" s="234"/>
      <c r="D5" s="235"/>
      <c r="E5" s="228"/>
      <c r="F5" s="245"/>
      <c r="G5" s="247"/>
      <c r="H5" s="249"/>
      <c r="I5" s="251"/>
      <c r="J5" s="241"/>
      <c r="K5" s="242" t="s">
        <v>310</v>
      </c>
      <c r="L5" s="243"/>
      <c r="M5" s="241"/>
      <c r="N5" s="257"/>
      <c r="O5" s="251"/>
      <c r="P5" s="258"/>
      <c r="Q5" s="242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 aca="true" t="shared" si="0" ref="G8:G54">F8-E8</f>
        <v>39060.75999999995</v>
      </c>
      <c r="H8" s="45">
        <f>F8/E8*100</f>
        <v>107.75745465269115</v>
      </c>
      <c r="I8" s="31">
        <f aca="true" t="shared" si="1" ref="I8:I54">F8-D8</f>
        <v>-29702.77000000002</v>
      </c>
      <c r="J8" s="31">
        <f aca="true" t="shared" si="2" ref="J8:J14">F8/D8*100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 aca="true" t="shared" si="3" ref="O8:O54">N8-M8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.75">
      <c r="A9" s="8"/>
      <c r="B9" s="15" t="s">
        <v>223</v>
      </c>
      <c r="C9" s="59">
        <v>11010000</v>
      </c>
      <c r="D9" s="36">
        <v>312190</v>
      </c>
      <c r="E9" s="36">
        <v>269865.12</v>
      </c>
      <c r="F9" s="143">
        <v>296275.33</v>
      </c>
      <c r="G9" s="43">
        <f t="shared" si="0"/>
        <v>26410.21000000002</v>
      </c>
      <c r="H9" s="35">
        <f aca="true" t="shared" si="4" ref="H9:H32">F9/E9*100</f>
        <v>109.78644813379366</v>
      </c>
      <c r="I9" s="50">
        <f t="shared" si="1"/>
        <v>-15914.669999999984</v>
      </c>
      <c r="J9" s="50">
        <f t="shared" si="2"/>
        <v>94.90224863064161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 t="shared" si="3"/>
        <v>10649.350000000035</v>
      </c>
      <c r="P9" s="50">
        <f aca="true" t="shared" si="5" ref="P9:P32">N9/M9*100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235960.82</v>
      </c>
      <c r="F10" s="144">
        <v>262635.28</v>
      </c>
      <c r="G10" s="135">
        <f t="shared" si="0"/>
        <v>26674.46000000002</v>
      </c>
      <c r="H10" s="137">
        <f t="shared" si="4"/>
        <v>111.3046140456708</v>
      </c>
      <c r="I10" s="136">
        <f t="shared" si="1"/>
        <v>-7774.719999999972</v>
      </c>
      <c r="J10" s="136">
        <f t="shared" si="2"/>
        <v>97.1248400576902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 t="shared" si="3"/>
        <v>11228.23000000001</v>
      </c>
      <c r="P10" s="136">
        <f t="shared" si="5"/>
        <v>164.26939704886564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18917.9</v>
      </c>
      <c r="F11" s="144">
        <v>15809.04</v>
      </c>
      <c r="G11" s="135">
        <f t="shared" si="0"/>
        <v>-3108.8600000000006</v>
      </c>
      <c r="H11" s="137">
        <f t="shared" si="4"/>
        <v>83.56656922808557</v>
      </c>
      <c r="I11" s="136">
        <f t="shared" si="1"/>
        <v>-7390.959999999999</v>
      </c>
      <c r="J11" s="136">
        <f t="shared" si="2"/>
        <v>68.14241379310346</v>
      </c>
      <c r="K11" s="138">
        <f>F11-21169.22/75*60</f>
        <v>-1126.336000000003</v>
      </c>
      <c r="L11" s="138">
        <f>F11/(21169.22/75*60)*100</f>
        <v>93.34921173288386</v>
      </c>
      <c r="M11" s="137">
        <f>E11-вересень!E11</f>
        <v>2130</v>
      </c>
      <c r="N11" s="137">
        <f>F11-вересень!F11</f>
        <v>1806.3500000000004</v>
      </c>
      <c r="O11" s="138">
        <f t="shared" si="3"/>
        <v>-323.64999999999964</v>
      </c>
      <c r="P11" s="136">
        <f t="shared" si="5"/>
        <v>84.80516431924883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 t="shared" si="0"/>
        <v>-279.8599999999997</v>
      </c>
      <c r="H12" s="137">
        <f t="shared" si="4"/>
        <v>93.70959766239605</v>
      </c>
      <c r="I12" s="136">
        <f t="shared" si="1"/>
        <v>-1630.8599999999997</v>
      </c>
      <c r="J12" s="136">
        <f t="shared" si="2"/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 t="shared" si="3"/>
        <v>-115.49999999999955</v>
      </c>
      <c r="P12" s="136">
        <f t="shared" si="5"/>
        <v>78.6111111111112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 t="shared" si="0"/>
        <v>-844.5299999999997</v>
      </c>
      <c r="H13" s="137">
        <f t="shared" si="4"/>
        <v>87.83693867557682</v>
      </c>
      <c r="I13" s="136">
        <f t="shared" si="1"/>
        <v>-2301.13</v>
      </c>
      <c r="J13" s="136">
        <f t="shared" si="2"/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 t="shared" si="3"/>
        <v>-351.3699999999999</v>
      </c>
      <c r="P13" s="136">
        <f t="shared" si="5"/>
        <v>51.19861111111113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-590.87</v>
      </c>
      <c r="G15" s="43">
        <f t="shared" si="0"/>
        <v>-762.27</v>
      </c>
      <c r="H15" s="35"/>
      <c r="I15" s="50">
        <f t="shared" si="1"/>
        <v>-1090.87</v>
      </c>
      <c r="J15" s="50">
        <f>F15/D15*100</f>
        <v>-118.174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 t="shared" si="3"/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 t="shared" si="0"/>
        <v>962.3000000000029</v>
      </c>
      <c r="H19" s="35">
        <f t="shared" si="4"/>
        <v>101.67290332955223</v>
      </c>
      <c r="I19" s="50">
        <f t="shared" si="1"/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 t="shared" si="3"/>
        <v>216.1800000000003</v>
      </c>
      <c r="P19" s="50">
        <f t="shared" si="5"/>
        <v>103.17911764705883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 t="shared" si="0"/>
        <v>12621.129999999976</v>
      </c>
      <c r="H20" s="35">
        <f t="shared" si="4"/>
        <v>107.41573581661856</v>
      </c>
      <c r="I20" s="50">
        <f t="shared" si="1"/>
        <v>-7054.97000000003</v>
      </c>
      <c r="J20" s="178">
        <f aca="true" t="shared" si="6" ref="J20:J46">F20/D20*100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 t="shared" si="3"/>
        <v>5992.939999999973</v>
      </c>
      <c r="P20" s="50">
        <f t="shared" si="5"/>
        <v>135.85259190571608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 t="shared" si="0"/>
        <v>4492.389999999999</v>
      </c>
      <c r="H21" s="35">
        <f t="shared" si="4"/>
        <v>104.6658475484616</v>
      </c>
      <c r="I21" s="50">
        <f t="shared" si="1"/>
        <v>-9525.210000000006</v>
      </c>
      <c r="J21" s="178">
        <f t="shared" si="6"/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 t="shared" si="3"/>
        <v>1413.4700000000012</v>
      </c>
      <c r="P21" s="50">
        <f t="shared" si="5"/>
        <v>113.61462146021961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 t="shared" si="0"/>
        <v>1840.7299999999996</v>
      </c>
      <c r="H22" s="137">
        <f t="shared" si="4"/>
        <v>117.2913183158923</v>
      </c>
      <c r="I22" s="136">
        <f t="shared" si="1"/>
        <v>1786.1299999999992</v>
      </c>
      <c r="J22" s="136">
        <f t="shared" si="6"/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 t="shared" si="3"/>
        <v>1503.449999999999</v>
      </c>
      <c r="P22" s="136">
        <f t="shared" si="5"/>
        <v>181.22366288492702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 t="shared" si="0"/>
        <v>1401.96</v>
      </c>
      <c r="H23" s="137">
        <f t="shared" si="4"/>
        <v>167.0152963671128</v>
      </c>
      <c r="I23" s="136">
        <f t="shared" si="1"/>
        <v>1393.96</v>
      </c>
      <c r="J23" s="136">
        <f t="shared" si="6"/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 t="shared" si="3"/>
        <v>-144.67000000000007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 t="shared" si="0"/>
        <v>1249.699999999997</v>
      </c>
      <c r="H24" s="137">
        <f t="shared" si="4"/>
        <v>101.495840564965</v>
      </c>
      <c r="I24" s="136">
        <f t="shared" si="1"/>
        <v>-12705.300000000003</v>
      </c>
      <c r="J24" s="136">
        <f t="shared" si="6"/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 t="shared" si="3"/>
        <v>54.69000000000233</v>
      </c>
      <c r="P24" s="136">
        <f t="shared" si="5"/>
        <v>100.66484318016049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 t="shared" si="0"/>
        <v>9.14</v>
      </c>
      <c r="H25" s="35">
        <f t="shared" si="4"/>
        <v>117.74757281553399</v>
      </c>
      <c r="I25" s="50">
        <f t="shared" si="1"/>
        <v>-9.36</v>
      </c>
      <c r="J25" s="178">
        <f t="shared" si="6"/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 t="shared" si="3"/>
        <v>-5.210000000000001</v>
      </c>
      <c r="P25" s="50">
        <f t="shared" si="5"/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 t="shared" si="3"/>
        <v>-34.960000000000036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 t="shared" si="0"/>
        <v>8860.539999999994</v>
      </c>
      <c r="H27" s="35">
        <f t="shared" si="4"/>
        <v>111.99639859193067</v>
      </c>
      <c r="I27" s="50">
        <f t="shared" si="1"/>
        <v>3220.5399999999936</v>
      </c>
      <c r="J27" s="178">
        <f t="shared" si="6"/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 t="shared" si="3"/>
        <v>4619.639999999999</v>
      </c>
      <c r="P27" s="50">
        <f t="shared" si="5"/>
        <v>173.0551118842413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 t="shared" si="0"/>
        <v>1883.3300000000017</v>
      </c>
      <c r="H29" s="137">
        <f t="shared" si="4"/>
        <v>110.4166482300885</v>
      </c>
      <c r="I29" s="136">
        <f t="shared" si="1"/>
        <v>763.3300000000017</v>
      </c>
      <c r="J29" s="136">
        <f t="shared" si="6"/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 t="shared" si="3"/>
        <v>923.5700000000033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 t="shared" si="0"/>
        <v>6949.489999999998</v>
      </c>
      <c r="H30" s="137">
        <f t="shared" si="4"/>
        <v>112.45874865543206</v>
      </c>
      <c r="I30" s="136">
        <f t="shared" si="1"/>
        <v>2429.489999999998</v>
      </c>
      <c r="J30" s="136">
        <f t="shared" si="6"/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 t="shared" si="3"/>
        <v>3690.019999999997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 t="shared" si="3"/>
        <v>6.050000000000001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 t="shared" si="0"/>
        <v>-173.55000000000018</v>
      </c>
      <c r="H32" s="35">
        <f t="shared" si="4"/>
        <v>96.98661295643566</v>
      </c>
      <c r="I32" s="50">
        <f t="shared" si="1"/>
        <v>-1914.25</v>
      </c>
      <c r="J32" s="178">
        <f t="shared" si="6"/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 t="shared" si="3"/>
        <v>-0.33000000000083674</v>
      </c>
      <c r="P32" s="50">
        <f t="shared" si="5"/>
        <v>95.21739130433608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 t="shared" si="0"/>
        <v>2531.4099999999926</v>
      </c>
      <c r="H33" s="45">
        <f aca="true" t="shared" si="7" ref="H33:H38">F33/E33*100</f>
        <v>107.77692473825869</v>
      </c>
      <c r="I33" s="31">
        <f t="shared" si="1"/>
        <v>-557.8900000000067</v>
      </c>
      <c r="J33" s="31">
        <f t="shared" si="6"/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 t="shared" si="3"/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 t="shared" si="0"/>
        <v>-453.2999999999993</v>
      </c>
      <c r="H40" s="35">
        <f aca="true" t="shared" si="8" ref="H40:H46">F40/E40*100</f>
        <v>94.8704311417902</v>
      </c>
      <c r="I40" s="50">
        <f t="shared" si="1"/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 t="shared" si="0"/>
        <v>-203.75</v>
      </c>
      <c r="H42" s="35">
        <f t="shared" si="8"/>
        <v>96.81207266127392</v>
      </c>
      <c r="I42" s="50">
        <f t="shared" si="1"/>
        <v>-912.4499999999998</v>
      </c>
      <c r="J42" s="50">
        <f t="shared" si="6"/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 t="shared" si="3"/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 t="shared" si="0"/>
        <v>-26.230000000000018</v>
      </c>
      <c r="H43" s="35">
        <f t="shared" si="8"/>
        <v>97.11758241758241</v>
      </c>
      <c r="I43" s="136">
        <f t="shared" si="1"/>
        <v>-216.23000000000002</v>
      </c>
      <c r="J43" s="136">
        <f t="shared" si="6"/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 t="shared" si="0"/>
        <v>-151.07999999999993</v>
      </c>
      <c r="H46" s="35">
        <f t="shared" si="8"/>
        <v>97.20739371534196</v>
      </c>
      <c r="I46" s="136">
        <f t="shared" si="1"/>
        <v>-659.0799999999999</v>
      </c>
      <c r="J46" s="136">
        <f t="shared" si="6"/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 t="shared" si="0"/>
        <v>560.8499999999999</v>
      </c>
      <c r="H48" s="35">
        <f>F48/E48*100</f>
        <v>116.25652173913043</v>
      </c>
      <c r="I48" s="50">
        <f t="shared" si="1"/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 t="shared" si="3"/>
        <v>79.40000000000009</v>
      </c>
      <c r="P48" s="50">
        <f aca="true" t="shared" si="9" ref="P48:P53">N48/M48*100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1044.3</v>
      </c>
      <c r="G51" s="135">
        <f t="shared" si="0"/>
        <v>1044.3</v>
      </c>
      <c r="H51" s="137"/>
      <c r="I51" s="136">
        <f t="shared" si="1"/>
        <v>1044.3</v>
      </c>
      <c r="J51" s="136"/>
      <c r="K51" s="138">
        <f>F51-838.39</f>
        <v>205.90999999999997</v>
      </c>
      <c r="L51" s="138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 t="shared" si="3"/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 t="shared" si="10"/>
        <v>-1006.87</v>
      </c>
      <c r="H64" s="35"/>
      <c r="I64" s="53">
        <f t="shared" si="11"/>
        <v>-1906.87</v>
      </c>
      <c r="J64" s="53">
        <f t="shared" si="13"/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 t="shared" si="12"/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 t="shared" si="10"/>
        <v>476.10000000000036</v>
      </c>
      <c r="H65" s="35">
        <f>F65/E65*100</f>
        <v>107.06801385989864</v>
      </c>
      <c r="I65" s="53">
        <f t="shared" si="11"/>
        <v>-4363.92</v>
      </c>
      <c r="J65" s="53">
        <f t="shared" si="13"/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 t="shared" si="12"/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 t="shared" si="10"/>
        <v>730.5299999999997</v>
      </c>
      <c r="H66" s="35">
        <f>F66/E66*100</f>
        <v>154.80756245779875</v>
      </c>
      <c r="I66" s="53">
        <f t="shared" si="11"/>
        <v>-936.5700000000002</v>
      </c>
      <c r="J66" s="53">
        <f t="shared" si="13"/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 t="shared" si="12"/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 t="shared" si="10"/>
        <v>199.76000000000022</v>
      </c>
      <c r="H67" s="65">
        <f>F67/E67*100</f>
        <v>102.06600971363797</v>
      </c>
      <c r="I67" s="54">
        <f t="shared" si="11"/>
        <v>-7207.360000000001</v>
      </c>
      <c r="J67" s="54">
        <f t="shared" si="13"/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 t="shared" si="12"/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53"/>
      <c r="O79" s="253"/>
    </row>
    <row r="80" spans="3:15" ht="15.75">
      <c r="C80" s="111">
        <v>42306</v>
      </c>
      <c r="D80" s="34">
        <v>6844.5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42305</v>
      </c>
      <c r="D81" s="34">
        <v>4690.4</v>
      </c>
      <c r="F81" s="90"/>
      <c r="G81" s="254"/>
      <c r="H81" s="254"/>
      <c r="I81" s="177"/>
      <c r="J81" s="259"/>
      <c r="K81" s="259"/>
      <c r="L81" s="259"/>
      <c r="M81" s="259"/>
      <c r="N81" s="253"/>
      <c r="O81" s="253"/>
    </row>
    <row r="82" spans="3:13" ht="15.75" customHeight="1">
      <c r="C82" s="111"/>
      <c r="F82" s="90"/>
      <c r="G82" s="260"/>
      <c r="H82" s="260"/>
      <c r="I82" s="221"/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257.30632</v>
      </c>
      <c r="E83" s="220"/>
      <c r="F83" s="222"/>
      <c r="G83" s="254"/>
      <c r="H83" s="254"/>
      <c r="I83" s="223"/>
      <c r="J83" s="255"/>
      <c r="K83" s="255"/>
      <c r="L83" s="255"/>
      <c r="M83" s="255"/>
    </row>
    <row r="84" spans="6:12" ht="9.75" customHeight="1">
      <c r="F84" s="90"/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F85" s="90"/>
      <c r="G85" s="254"/>
      <c r="H85" s="254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3" right="0.23" top="0.36" bottom="0.39" header="0.24" footer="0.29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6" sqref="B2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305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66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303</v>
      </c>
      <c r="N3" s="226" t="s">
        <v>304</v>
      </c>
      <c r="O3" s="226"/>
      <c r="P3" s="226"/>
      <c r="Q3" s="226"/>
      <c r="R3" s="226"/>
    </row>
    <row r="4" spans="1:18" ht="22.5" customHeight="1">
      <c r="A4" s="231"/>
      <c r="B4" s="266"/>
      <c r="C4" s="234"/>
      <c r="D4" s="235"/>
      <c r="E4" s="227" t="s">
        <v>298</v>
      </c>
      <c r="F4" s="244" t="s">
        <v>116</v>
      </c>
      <c r="G4" s="246" t="s">
        <v>299</v>
      </c>
      <c r="H4" s="248" t="s">
        <v>300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306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66"/>
      <c r="C5" s="234"/>
      <c r="D5" s="235"/>
      <c r="E5" s="228"/>
      <c r="F5" s="245"/>
      <c r="G5" s="247"/>
      <c r="H5" s="249"/>
      <c r="I5" s="251"/>
      <c r="J5" s="241"/>
      <c r="K5" s="242" t="s">
        <v>302</v>
      </c>
      <c r="L5" s="243"/>
      <c r="M5" s="241"/>
      <c r="N5" s="257"/>
      <c r="O5" s="251"/>
      <c r="P5" s="258"/>
      <c r="Q5" s="242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312190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-47814.590000000026</v>
      </c>
      <c r="J9" s="50">
        <f t="shared" si="2"/>
        <v>84.68413786476184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-36473.51999999999</v>
      </c>
      <c r="J10" s="136">
        <f t="shared" si="2"/>
        <v>86.51177101438556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-9197.31</v>
      </c>
      <c r="J11" s="136">
        <f t="shared" si="2"/>
        <v>60.35642241379311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-1166.69</v>
      </c>
      <c r="J15" s="50">
        <f>F15/D15*100</f>
        <v>-133.338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53"/>
      <c r="O79" s="253"/>
    </row>
    <row r="80" spans="3:15" ht="15.75">
      <c r="C80" s="111">
        <v>42276</v>
      </c>
      <c r="D80" s="34">
        <v>6511.1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42275</v>
      </c>
      <c r="D81" s="34">
        <v>4229.6</v>
      </c>
      <c r="F81" s="90"/>
      <c r="G81" s="254"/>
      <c r="H81" s="254"/>
      <c r="I81" s="177"/>
      <c r="J81" s="259"/>
      <c r="K81" s="259"/>
      <c r="L81" s="259"/>
      <c r="M81" s="259"/>
      <c r="N81" s="253"/>
      <c r="O81" s="253"/>
    </row>
    <row r="82" spans="3:13" ht="15.75" customHeight="1">
      <c r="C82" s="111"/>
      <c r="F82" s="90"/>
      <c r="G82" s="260"/>
      <c r="H82" s="260"/>
      <c r="I82" s="221"/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f>1507100.82/1000</f>
        <v>1507.10082</v>
      </c>
      <c r="E83" s="220"/>
      <c r="F83" s="222"/>
      <c r="G83" s="254"/>
      <c r="H83" s="254"/>
      <c r="I83" s="223"/>
      <c r="J83" s="255"/>
      <c r="K83" s="255"/>
      <c r="L83" s="255"/>
      <c r="M83" s="255"/>
    </row>
    <row r="84" spans="6:12" ht="9.75" customHeight="1">
      <c r="F84" s="90"/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F85" s="90"/>
      <c r="G85" s="254"/>
      <c r="H85" s="254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4" sqref="B24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296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66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293</v>
      </c>
      <c r="N3" s="226" t="s">
        <v>294</v>
      </c>
      <c r="O3" s="226"/>
      <c r="P3" s="226"/>
      <c r="Q3" s="226"/>
      <c r="R3" s="226"/>
    </row>
    <row r="4" spans="1:18" ht="22.5" customHeight="1">
      <c r="A4" s="231"/>
      <c r="B4" s="266"/>
      <c r="C4" s="234"/>
      <c r="D4" s="235"/>
      <c r="E4" s="227" t="s">
        <v>291</v>
      </c>
      <c r="F4" s="244" t="s">
        <v>116</v>
      </c>
      <c r="G4" s="246" t="s">
        <v>292</v>
      </c>
      <c r="H4" s="248" t="s">
        <v>301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297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66"/>
      <c r="C5" s="234"/>
      <c r="D5" s="235"/>
      <c r="E5" s="228"/>
      <c r="F5" s="245"/>
      <c r="G5" s="247"/>
      <c r="H5" s="249"/>
      <c r="I5" s="251"/>
      <c r="J5" s="241"/>
      <c r="K5" s="242" t="s">
        <v>295</v>
      </c>
      <c r="L5" s="243"/>
      <c r="M5" s="241"/>
      <c r="N5" s="257"/>
      <c r="O5" s="251"/>
      <c r="P5" s="258"/>
      <c r="Q5" s="242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f>312690-500</f>
        <v>312190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-78478.98999999999</v>
      </c>
      <c r="J9" s="50">
        <f t="shared" si="2"/>
        <v>74.86178609180307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-63791.79000000001</v>
      </c>
      <c r="J10" s="136">
        <f t="shared" si="2"/>
        <v>76.40923412595689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-10791.44</v>
      </c>
      <c r="J11" s="136">
        <f t="shared" si="2"/>
        <v>53.4851724137931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</f>
        <v>500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-1234.58</v>
      </c>
      <c r="J15" s="50">
        <f>F15/D15*100</f>
        <v>-146.916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3"/>
      <c r="O79" s="253"/>
    </row>
    <row r="80" spans="3:15" ht="15.75">
      <c r="C80" s="111">
        <v>42244</v>
      </c>
      <c r="D80" s="34">
        <v>8323.9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42243</v>
      </c>
      <c r="D81" s="34">
        <v>4177.3</v>
      </c>
      <c r="F81" s="90"/>
      <c r="G81" s="254"/>
      <c r="H81" s="254"/>
      <c r="I81" s="177"/>
      <c r="J81" s="259"/>
      <c r="K81" s="259"/>
      <c r="L81" s="259"/>
      <c r="M81" s="259"/>
      <c r="N81" s="253"/>
      <c r="O81" s="253"/>
    </row>
    <row r="82" spans="3:13" ht="15.75" customHeight="1">
      <c r="C82" s="111"/>
      <c r="F82" s="90"/>
      <c r="G82" s="260"/>
      <c r="H82" s="260"/>
      <c r="I82" s="221"/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2162.07</v>
      </c>
      <c r="E83" s="220"/>
      <c r="F83" s="222"/>
      <c r="G83" s="254"/>
      <c r="H83" s="254"/>
      <c r="I83" s="223"/>
      <c r="J83" s="255"/>
      <c r="K83" s="255"/>
      <c r="L83" s="255"/>
      <c r="M83" s="255"/>
    </row>
    <row r="84" spans="6:12" ht="9.75" customHeight="1">
      <c r="F84" s="90"/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F85" s="90"/>
      <c r="G85" s="254"/>
      <c r="H85" s="254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5" sqref="B2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289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66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285</v>
      </c>
      <c r="N3" s="226" t="s">
        <v>286</v>
      </c>
      <c r="O3" s="226"/>
      <c r="P3" s="226"/>
      <c r="Q3" s="226"/>
      <c r="R3" s="226"/>
    </row>
    <row r="4" spans="1:18" ht="22.5" customHeight="1">
      <c r="A4" s="231"/>
      <c r="B4" s="266"/>
      <c r="C4" s="234"/>
      <c r="D4" s="235"/>
      <c r="E4" s="227" t="s">
        <v>282</v>
      </c>
      <c r="F4" s="244" t="s">
        <v>116</v>
      </c>
      <c r="G4" s="246" t="s">
        <v>283</v>
      </c>
      <c r="H4" s="248" t="s">
        <v>284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290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66"/>
      <c r="C5" s="234"/>
      <c r="D5" s="235"/>
      <c r="E5" s="228"/>
      <c r="F5" s="245"/>
      <c r="G5" s="247"/>
      <c r="H5" s="249"/>
      <c r="I5" s="251"/>
      <c r="J5" s="241"/>
      <c r="K5" s="242" t="s">
        <v>287</v>
      </c>
      <c r="L5" s="243"/>
      <c r="M5" s="241"/>
      <c r="N5" s="257"/>
      <c r="O5" s="251"/>
      <c r="P5" s="258"/>
      <c r="Q5" s="242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-90340.03</v>
      </c>
      <c r="J10" s="136">
        <f t="shared" si="2"/>
        <v>66.59146111460375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3"/>
      <c r="O79" s="253"/>
    </row>
    <row r="80" spans="3:15" ht="15.75">
      <c r="C80" s="111">
        <v>42215</v>
      </c>
      <c r="D80" s="34">
        <v>7239.9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42214</v>
      </c>
      <c r="D81" s="34">
        <v>4823.1</v>
      </c>
      <c r="G81" s="267" t="s">
        <v>151</v>
      </c>
      <c r="H81" s="267"/>
      <c r="I81" s="106">
        <v>8909.73221</v>
      </c>
      <c r="J81" s="259"/>
      <c r="K81" s="259"/>
      <c r="L81" s="259"/>
      <c r="M81" s="259"/>
      <c r="N81" s="253"/>
      <c r="O81" s="253"/>
    </row>
    <row r="82" spans="3:13" ht="15.75" customHeight="1">
      <c r="C82" s="111"/>
      <c r="G82" s="268" t="s">
        <v>234</v>
      </c>
      <c r="H82" s="269"/>
      <c r="I82" s="103">
        <v>0</v>
      </c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24842.96012</v>
      </c>
      <c r="E83" s="73"/>
      <c r="F83" s="156" t="s">
        <v>147</v>
      </c>
      <c r="G83" s="267" t="s">
        <v>149</v>
      </c>
      <c r="H83" s="267"/>
      <c r="I83" s="107">
        <v>15933.22791</v>
      </c>
      <c r="J83" s="255"/>
      <c r="K83" s="255"/>
      <c r="L83" s="255"/>
      <c r="M83" s="255"/>
    </row>
    <row r="84" spans="7:12" ht="9.75" customHeight="1"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G85" s="254"/>
      <c r="H85" s="254"/>
      <c r="I85" s="90"/>
      <c r="J85" s="91"/>
      <c r="K85" s="91"/>
      <c r="L85" s="91"/>
    </row>
    <row r="86" spans="4:15" ht="15.75">
      <c r="D86" s="105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4" sqref="B2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0" t="s">
        <v>280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7"/>
      <c r="R1" s="118"/>
    </row>
    <row r="2" spans="2:18" s="1" customFormat="1" ht="15.75" customHeight="1">
      <c r="B2" s="230"/>
      <c r="C2" s="230"/>
      <c r="D2" s="230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66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277</v>
      </c>
      <c r="N3" s="226" t="s">
        <v>278</v>
      </c>
      <c r="O3" s="226"/>
      <c r="P3" s="226"/>
      <c r="Q3" s="226"/>
      <c r="R3" s="226"/>
    </row>
    <row r="4" spans="1:18" ht="22.5" customHeight="1">
      <c r="A4" s="231"/>
      <c r="B4" s="266"/>
      <c r="C4" s="234"/>
      <c r="D4" s="235"/>
      <c r="E4" s="227" t="s">
        <v>279</v>
      </c>
      <c r="F4" s="271" t="s">
        <v>116</v>
      </c>
      <c r="G4" s="246" t="s">
        <v>275</v>
      </c>
      <c r="H4" s="248" t="s">
        <v>276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281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66"/>
      <c r="C5" s="234"/>
      <c r="D5" s="235"/>
      <c r="E5" s="228"/>
      <c r="F5" s="272"/>
      <c r="G5" s="247"/>
      <c r="H5" s="249"/>
      <c r="I5" s="251"/>
      <c r="J5" s="241"/>
      <c r="K5" s="242" t="s">
        <v>288</v>
      </c>
      <c r="L5" s="243"/>
      <c r="M5" s="241"/>
      <c r="N5" s="257"/>
      <c r="O5" s="251"/>
      <c r="P5" s="258"/>
      <c r="Q5" s="242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-118183.1</v>
      </c>
      <c r="J10" s="136">
        <f t="shared" si="2"/>
        <v>56.294848563292774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3"/>
      <c r="O79" s="253"/>
    </row>
    <row r="80" spans="3:15" ht="15.75">
      <c r="C80" s="111">
        <v>42181</v>
      </c>
      <c r="D80" s="34">
        <v>8722.4</v>
      </c>
      <c r="F80" s="217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42180</v>
      </c>
      <c r="D81" s="34">
        <v>4146.6</v>
      </c>
      <c r="G81" s="267" t="s">
        <v>151</v>
      </c>
      <c r="H81" s="267"/>
      <c r="I81" s="106">
        <v>8909.73221</v>
      </c>
      <c r="J81" s="259"/>
      <c r="K81" s="259"/>
      <c r="L81" s="259"/>
      <c r="M81" s="259"/>
      <c r="N81" s="253"/>
      <c r="O81" s="253"/>
    </row>
    <row r="82" spans="3:13" ht="15.75" customHeight="1">
      <c r="C82" s="111"/>
      <c r="G82" s="268" t="s">
        <v>234</v>
      </c>
      <c r="H82" s="269"/>
      <c r="I82" s="103">
        <v>0</v>
      </c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152943.93305000002</v>
      </c>
      <c r="E83" s="73"/>
      <c r="F83" s="218" t="s">
        <v>147</v>
      </c>
      <c r="G83" s="267" t="s">
        <v>149</v>
      </c>
      <c r="H83" s="267"/>
      <c r="I83" s="107">
        <v>144034.20084</v>
      </c>
      <c r="J83" s="255"/>
      <c r="K83" s="255"/>
      <c r="L83" s="255"/>
      <c r="M83" s="255"/>
    </row>
    <row r="84" spans="7:12" ht="9.75" customHeight="1"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G85" s="254"/>
      <c r="H85" s="254"/>
      <c r="I85" s="90"/>
      <c r="J85" s="91"/>
      <c r="K85" s="91"/>
      <c r="L85" s="91"/>
    </row>
    <row r="86" spans="4:15" ht="15.75">
      <c r="D86" s="105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24" sqref="B2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274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66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266</v>
      </c>
      <c r="N3" s="226" t="s">
        <v>267</v>
      </c>
      <c r="O3" s="226"/>
      <c r="P3" s="226"/>
      <c r="Q3" s="226"/>
      <c r="R3" s="226"/>
    </row>
    <row r="4" spans="1:18" ht="22.5" customHeight="1">
      <c r="A4" s="231"/>
      <c r="B4" s="266"/>
      <c r="C4" s="234"/>
      <c r="D4" s="235"/>
      <c r="E4" s="227" t="s">
        <v>262</v>
      </c>
      <c r="F4" s="244" t="s">
        <v>116</v>
      </c>
      <c r="G4" s="246" t="s">
        <v>263</v>
      </c>
      <c r="H4" s="248" t="s">
        <v>264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273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66"/>
      <c r="C5" s="234"/>
      <c r="D5" s="235"/>
      <c r="E5" s="228"/>
      <c r="F5" s="245"/>
      <c r="G5" s="247"/>
      <c r="H5" s="249"/>
      <c r="I5" s="251"/>
      <c r="J5" s="241"/>
      <c r="K5" s="242" t="s">
        <v>265</v>
      </c>
      <c r="L5" s="243"/>
      <c r="M5" s="241"/>
      <c r="N5" s="257"/>
      <c r="O5" s="251"/>
      <c r="P5" s="258"/>
      <c r="Q5" s="242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-148216.26</v>
      </c>
      <c r="J10" s="136">
        <f t="shared" si="2"/>
        <v>45.188321437816654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3"/>
      <c r="O79" s="253"/>
    </row>
    <row r="80" spans="3:15" ht="15.75">
      <c r="C80" s="111">
        <v>42152</v>
      </c>
      <c r="D80" s="34">
        <v>5845.4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42151</v>
      </c>
      <c r="D81" s="34">
        <v>3158.7</v>
      </c>
      <c r="G81" s="267" t="s">
        <v>151</v>
      </c>
      <c r="H81" s="267"/>
      <c r="I81" s="106">
        <v>8909.73221</v>
      </c>
      <c r="J81" s="259"/>
      <c r="K81" s="259"/>
      <c r="L81" s="259"/>
      <c r="M81" s="259"/>
      <c r="N81" s="253"/>
      <c r="O81" s="253"/>
    </row>
    <row r="82" spans="7:13" ht="15.75" customHeight="1">
      <c r="G82" s="268" t="s">
        <v>234</v>
      </c>
      <c r="H82" s="269"/>
      <c r="I82" s="103">
        <v>0</v>
      </c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153606.78</v>
      </c>
      <c r="E83" s="73"/>
      <c r="F83" s="156" t="s">
        <v>147</v>
      </c>
      <c r="G83" s="267" t="s">
        <v>149</v>
      </c>
      <c r="H83" s="267"/>
      <c r="I83" s="107">
        <v>144697.05</v>
      </c>
      <c r="J83" s="255"/>
      <c r="K83" s="255"/>
      <c r="L83" s="255"/>
      <c r="M83" s="255"/>
    </row>
    <row r="84" spans="7:12" ht="9.75" customHeight="1"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G85" s="254"/>
      <c r="H85" s="254"/>
      <c r="I85" s="90"/>
      <c r="J85" s="91"/>
      <c r="K85" s="91"/>
      <c r="L85" s="91"/>
    </row>
    <row r="86" spans="4:15" ht="15.75">
      <c r="D86" s="105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37" sqref="B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259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66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240</v>
      </c>
      <c r="N3" s="226" t="s">
        <v>241</v>
      </c>
      <c r="O3" s="226"/>
      <c r="P3" s="226"/>
      <c r="Q3" s="226"/>
      <c r="R3" s="226"/>
    </row>
    <row r="4" spans="1:18" ht="22.5" customHeight="1">
      <c r="A4" s="231"/>
      <c r="B4" s="266"/>
      <c r="C4" s="234"/>
      <c r="D4" s="235"/>
      <c r="E4" s="227" t="s">
        <v>237</v>
      </c>
      <c r="F4" s="273" t="s">
        <v>116</v>
      </c>
      <c r="G4" s="246" t="s">
        <v>238</v>
      </c>
      <c r="H4" s="248" t="s">
        <v>239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260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66"/>
      <c r="C5" s="234"/>
      <c r="D5" s="235"/>
      <c r="E5" s="228"/>
      <c r="F5" s="274"/>
      <c r="G5" s="247"/>
      <c r="H5" s="249"/>
      <c r="I5" s="251"/>
      <c r="J5" s="241"/>
      <c r="K5" s="242" t="s">
        <v>242</v>
      </c>
      <c r="L5" s="243"/>
      <c r="M5" s="241"/>
      <c r="N5" s="257"/>
      <c r="O5" s="251"/>
      <c r="P5" s="258"/>
      <c r="Q5" s="242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 hidden="1">
      <c r="A11" s="8"/>
      <c r="B11" s="183" t="s">
        <v>253</v>
      </c>
      <c r="C11" s="134">
        <v>11010100</v>
      </c>
      <c r="D11" s="135">
        <v>270410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-172058.69</v>
      </c>
      <c r="J11" s="136">
        <f t="shared" si="2"/>
        <v>36.37118079952664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 hidden="1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 hidden="1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 hidden="1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 hidden="1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 hidden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2"/>
      <c r="H103" s="252"/>
      <c r="I103" s="252"/>
      <c r="J103" s="252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3"/>
      <c r="O104" s="253"/>
    </row>
    <row r="105" spans="3:15" ht="15.75">
      <c r="C105" s="111">
        <v>42123</v>
      </c>
      <c r="D105" s="34">
        <v>7959.6</v>
      </c>
      <c r="F105" s="201" t="s">
        <v>166</v>
      </c>
      <c r="G105" s="254"/>
      <c r="H105" s="254"/>
      <c r="I105" s="177"/>
      <c r="J105" s="255"/>
      <c r="K105" s="255"/>
      <c r="L105" s="255"/>
      <c r="M105" s="255"/>
      <c r="N105" s="253"/>
      <c r="O105" s="253"/>
    </row>
    <row r="106" spans="3:15" ht="15.75" customHeight="1">
      <c r="C106" s="111">
        <v>42122</v>
      </c>
      <c r="D106" s="34">
        <v>4962.7</v>
      </c>
      <c r="G106" s="267" t="s">
        <v>151</v>
      </c>
      <c r="H106" s="267"/>
      <c r="I106" s="106">
        <v>8909.73221</v>
      </c>
      <c r="J106" s="259"/>
      <c r="K106" s="259"/>
      <c r="L106" s="259"/>
      <c r="M106" s="259"/>
      <c r="N106" s="253"/>
      <c r="O106" s="253"/>
    </row>
    <row r="107" spans="7:13" ht="15.75" customHeight="1">
      <c r="G107" s="268" t="s">
        <v>234</v>
      </c>
      <c r="H107" s="269"/>
      <c r="I107" s="103">
        <v>0</v>
      </c>
      <c r="J107" s="255"/>
      <c r="K107" s="255"/>
      <c r="L107" s="255"/>
      <c r="M107" s="255"/>
    </row>
    <row r="108" spans="2:13" ht="18.75" customHeight="1">
      <c r="B108" s="261" t="s">
        <v>160</v>
      </c>
      <c r="C108" s="262"/>
      <c r="D108" s="108">
        <v>154856.06924</v>
      </c>
      <c r="E108" s="73"/>
      <c r="F108" s="202" t="s">
        <v>147</v>
      </c>
      <c r="G108" s="267" t="s">
        <v>149</v>
      </c>
      <c r="H108" s="267"/>
      <c r="I108" s="107">
        <v>145946.33703</v>
      </c>
      <c r="J108" s="255"/>
      <c r="K108" s="255"/>
      <c r="L108" s="255"/>
      <c r="M108" s="255"/>
    </row>
    <row r="109" spans="7:12" ht="9.75" customHeight="1">
      <c r="G109" s="254"/>
      <c r="H109" s="254"/>
      <c r="I109" s="90"/>
      <c r="J109" s="91"/>
      <c r="K109" s="91"/>
      <c r="L109" s="91"/>
    </row>
    <row r="110" spans="2:12" ht="22.5" customHeight="1" hidden="1">
      <c r="B110" s="263" t="s">
        <v>167</v>
      </c>
      <c r="C110" s="264"/>
      <c r="D110" s="110">
        <v>0</v>
      </c>
      <c r="E110" s="70" t="s">
        <v>104</v>
      </c>
      <c r="G110" s="254"/>
      <c r="H110" s="254"/>
      <c r="I110" s="90"/>
      <c r="J110" s="91"/>
      <c r="K110" s="91"/>
      <c r="L110" s="91"/>
    </row>
    <row r="111" spans="4:15" ht="15.75">
      <c r="D111" s="105"/>
      <c r="N111" s="254"/>
      <c r="O111" s="254"/>
    </row>
    <row r="112" spans="4:15" ht="15.75">
      <c r="D112" s="104"/>
      <c r="I112" s="34"/>
      <c r="N112" s="265"/>
      <c r="O112" s="265"/>
    </row>
    <row r="113" spans="14:15" ht="15.75">
      <c r="N113" s="254"/>
      <c r="O113" s="254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13" sqref="B1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235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66"/>
      <c r="C3" s="234" t="s">
        <v>0</v>
      </c>
      <c r="D3" s="235" t="s">
        <v>216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231</v>
      </c>
      <c r="N3" s="226" t="s">
        <v>232</v>
      </c>
      <c r="O3" s="226"/>
      <c r="P3" s="226"/>
      <c r="Q3" s="226"/>
      <c r="R3" s="226"/>
    </row>
    <row r="4" spans="1:18" ht="22.5" customHeight="1">
      <c r="A4" s="231"/>
      <c r="B4" s="266"/>
      <c r="C4" s="234"/>
      <c r="D4" s="235"/>
      <c r="E4" s="227" t="s">
        <v>228</v>
      </c>
      <c r="F4" s="244" t="s">
        <v>116</v>
      </c>
      <c r="G4" s="246" t="s">
        <v>229</v>
      </c>
      <c r="H4" s="248" t="s">
        <v>230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236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66"/>
      <c r="C5" s="234"/>
      <c r="D5" s="235"/>
      <c r="E5" s="228"/>
      <c r="F5" s="245"/>
      <c r="G5" s="247"/>
      <c r="H5" s="249"/>
      <c r="I5" s="251"/>
      <c r="J5" s="241"/>
      <c r="K5" s="242" t="s">
        <v>233</v>
      </c>
      <c r="L5" s="243"/>
      <c r="M5" s="241"/>
      <c r="N5" s="257"/>
      <c r="O5" s="251"/>
      <c r="P5" s="258"/>
      <c r="Q5" s="242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2"/>
      <c r="H104" s="252"/>
      <c r="I104" s="252"/>
      <c r="J104" s="252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3"/>
      <c r="O105" s="253"/>
    </row>
    <row r="106" spans="3:15" ht="15.75">
      <c r="C106" s="111">
        <v>42093</v>
      </c>
      <c r="D106" s="34">
        <v>8025</v>
      </c>
      <c r="F106" s="155" t="s">
        <v>166</v>
      </c>
      <c r="G106" s="254"/>
      <c r="H106" s="254"/>
      <c r="I106" s="177"/>
      <c r="J106" s="255"/>
      <c r="K106" s="255"/>
      <c r="L106" s="255"/>
      <c r="M106" s="255"/>
      <c r="N106" s="253"/>
      <c r="O106" s="253"/>
    </row>
    <row r="107" spans="3:15" ht="15.75" customHeight="1">
      <c r="C107" s="111">
        <v>42090</v>
      </c>
      <c r="D107" s="34">
        <v>4282.6</v>
      </c>
      <c r="G107" s="267" t="s">
        <v>151</v>
      </c>
      <c r="H107" s="267"/>
      <c r="I107" s="106">
        <f>8909732.21/1000</f>
        <v>8909.73221</v>
      </c>
      <c r="J107" s="259"/>
      <c r="K107" s="259"/>
      <c r="L107" s="259"/>
      <c r="M107" s="259"/>
      <c r="N107" s="253"/>
      <c r="O107" s="253"/>
    </row>
    <row r="108" spans="7:13" ht="15.75" customHeight="1">
      <c r="G108" s="268" t="s">
        <v>234</v>
      </c>
      <c r="H108" s="269"/>
      <c r="I108" s="103">
        <v>0</v>
      </c>
      <c r="J108" s="255"/>
      <c r="K108" s="255"/>
      <c r="L108" s="255"/>
      <c r="M108" s="255"/>
    </row>
    <row r="109" spans="2:13" ht="18.75" customHeight="1">
      <c r="B109" s="261" t="s">
        <v>160</v>
      </c>
      <c r="C109" s="262"/>
      <c r="D109" s="108">
        <f>147433239.77/1000</f>
        <v>147433.23977000001</v>
      </c>
      <c r="E109" s="73"/>
      <c r="F109" s="156" t="s">
        <v>147</v>
      </c>
      <c r="G109" s="267" t="s">
        <v>149</v>
      </c>
      <c r="H109" s="267"/>
      <c r="I109" s="107">
        <f>138523507.56/1000</f>
        <v>138523.50756</v>
      </c>
      <c r="J109" s="255"/>
      <c r="K109" s="255"/>
      <c r="L109" s="255"/>
      <c r="M109" s="255"/>
    </row>
    <row r="110" spans="7:12" ht="9.75" customHeight="1">
      <c r="G110" s="254"/>
      <c r="H110" s="254"/>
      <c r="I110" s="90"/>
      <c r="J110" s="91"/>
      <c r="K110" s="91"/>
      <c r="L110" s="91"/>
    </row>
    <row r="111" spans="2:12" ht="22.5" customHeight="1" hidden="1">
      <c r="B111" s="263" t="s">
        <v>167</v>
      </c>
      <c r="C111" s="264"/>
      <c r="D111" s="110">
        <v>0</v>
      </c>
      <c r="E111" s="70" t="s">
        <v>104</v>
      </c>
      <c r="G111" s="254"/>
      <c r="H111" s="254"/>
      <c r="I111" s="90"/>
      <c r="J111" s="91"/>
      <c r="K111" s="91"/>
      <c r="L111" s="91"/>
    </row>
    <row r="112" spans="4:15" ht="15.75">
      <c r="D112" s="105"/>
      <c r="N112" s="254"/>
      <c r="O112" s="254"/>
    </row>
    <row r="113" spans="4:15" ht="15.75">
      <c r="D113" s="104"/>
      <c r="I113" s="34"/>
      <c r="N113" s="265"/>
      <c r="O113" s="265"/>
    </row>
    <row r="114" spans="14:15" ht="15.75">
      <c r="N114" s="254"/>
      <c r="O114" s="254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2015-12-01T09:30:16Z</cp:lastPrinted>
  <dcterms:created xsi:type="dcterms:W3CDTF">2003-07-28T11:27:56Z</dcterms:created>
  <dcterms:modified xsi:type="dcterms:W3CDTF">2015-12-01T09:50:26Z</dcterms:modified>
  <cp:category/>
  <cp:version/>
  <cp:contentType/>
  <cp:contentStatus/>
</cp:coreProperties>
</file>